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8515" windowHeight="12300"/>
  </bookViews>
  <sheets>
    <sheet name="на 25.06.2018" sheetId="1" r:id="rId1"/>
  </sheets>
  <externalReferences>
    <externalReference r:id="rId2"/>
  </externalReferences>
  <definedNames>
    <definedName name="_xlnm._FilterDatabase" localSheetId="0" hidden="1">'на 25.06.2018'!$A$7:$T$153</definedName>
    <definedName name="_xlnm.Print_Titles" localSheetId="0">'на 25.06.2018'!$A:$A,'на 25.06.2018'!$5:$6</definedName>
  </definedNames>
  <calcPr calcId="125725"/>
</workbook>
</file>

<file path=xl/calcChain.xml><?xml version="1.0" encoding="utf-8"?>
<calcChain xmlns="http://schemas.openxmlformats.org/spreadsheetml/2006/main">
  <c r="P153" i="1"/>
  <c r="E153"/>
  <c r="F153" s="1"/>
  <c r="G153" s="1"/>
  <c r="M152"/>
  <c r="E152"/>
  <c r="F152" s="1"/>
  <c r="P151"/>
  <c r="E151"/>
  <c r="F151" s="1"/>
  <c r="R150"/>
  <c r="P150"/>
  <c r="E150"/>
  <c r="F150" s="1"/>
  <c r="S150" s="1"/>
  <c r="R149"/>
  <c r="M149"/>
  <c r="E149"/>
  <c r="F149" s="1"/>
  <c r="G149" s="1"/>
  <c r="M148"/>
  <c r="P148" s="1"/>
  <c r="E148"/>
  <c r="F148" s="1"/>
  <c r="R148" s="1"/>
  <c r="S148" s="1"/>
  <c r="M147"/>
  <c r="E147"/>
  <c r="F147" s="1"/>
  <c r="P146"/>
  <c r="E146"/>
  <c r="F146" s="1"/>
  <c r="P145"/>
  <c r="E145"/>
  <c r="F145" s="1"/>
  <c r="R145" s="1"/>
  <c r="S145" s="1"/>
  <c r="O144"/>
  <c r="P144" s="1"/>
  <c r="E144"/>
  <c r="F144" s="1"/>
  <c r="D143"/>
  <c r="O142"/>
  <c r="P142" s="1"/>
  <c r="E142"/>
  <c r="F142" s="1"/>
  <c r="R142" s="1"/>
  <c r="S142" s="1"/>
  <c r="P141"/>
  <c r="E141"/>
  <c r="F141" s="1"/>
  <c r="P140"/>
  <c r="E140"/>
  <c r="F140" s="1"/>
  <c r="M139"/>
  <c r="O139" s="1"/>
  <c r="D139"/>
  <c r="C139"/>
  <c r="O138"/>
  <c r="M138"/>
  <c r="E138"/>
  <c r="D138"/>
  <c r="O137"/>
  <c r="M137"/>
  <c r="E137"/>
  <c r="D137"/>
  <c r="C137"/>
  <c r="O136"/>
  <c r="P136" s="1"/>
  <c r="E136"/>
  <c r="F136" s="1"/>
  <c r="O135"/>
  <c r="P135" s="1"/>
  <c r="E135"/>
  <c r="F135" s="1"/>
  <c r="R135" s="1"/>
  <c r="S135" s="1"/>
  <c r="O134"/>
  <c r="P134" s="1"/>
  <c r="E134"/>
  <c r="F134" s="1"/>
  <c r="M133"/>
  <c r="M132" s="1"/>
  <c r="D133"/>
  <c r="D132" s="1"/>
  <c r="C132"/>
  <c r="O131"/>
  <c r="P131" s="1"/>
  <c r="F131"/>
  <c r="R131" s="1"/>
  <c r="S131" s="1"/>
  <c r="E131"/>
  <c r="M130"/>
  <c r="P130" s="1"/>
  <c r="P125" s="1"/>
  <c r="D130"/>
  <c r="E130" s="1"/>
  <c r="O129"/>
  <c r="M129"/>
  <c r="P129" s="1"/>
  <c r="D129"/>
  <c r="E129" s="1"/>
  <c r="O128"/>
  <c r="P128" s="1"/>
  <c r="E128"/>
  <c r="F128" s="1"/>
  <c r="R128" s="1"/>
  <c r="S128" s="1"/>
  <c r="O127"/>
  <c r="E127"/>
  <c r="F127" s="1"/>
  <c r="O126"/>
  <c r="E126"/>
  <c r="F126" s="1"/>
  <c r="R126" s="1"/>
  <c r="O125"/>
  <c r="D125"/>
  <c r="D124"/>
  <c r="D123" s="1"/>
  <c r="C123"/>
  <c r="P122"/>
  <c r="E122"/>
  <c r="F122" s="1"/>
  <c r="M121"/>
  <c r="P121" s="1"/>
  <c r="E121"/>
  <c r="F121" s="1"/>
  <c r="R121" s="1"/>
  <c r="S121" s="1"/>
  <c r="M120"/>
  <c r="P120" s="1"/>
  <c r="E120"/>
  <c r="F120" s="1"/>
  <c r="M119"/>
  <c r="P119" s="1"/>
  <c r="E119"/>
  <c r="F119" s="1"/>
  <c r="R119" s="1"/>
  <c r="S119" s="1"/>
  <c r="M118"/>
  <c r="P118" s="1"/>
  <c r="E118"/>
  <c r="F118" s="1"/>
  <c r="M117"/>
  <c r="P117" s="1"/>
  <c r="E117"/>
  <c r="F117" s="1"/>
  <c r="R117" s="1"/>
  <c r="S117" s="1"/>
  <c r="M116"/>
  <c r="P116" s="1"/>
  <c r="E116"/>
  <c r="F116" s="1"/>
  <c r="P115"/>
  <c r="E115"/>
  <c r="M114"/>
  <c r="P114" s="1"/>
  <c r="E114"/>
  <c r="F114" s="1"/>
  <c r="O113"/>
  <c r="O112" s="1"/>
  <c r="D113"/>
  <c r="D112" s="1"/>
  <c r="C112"/>
  <c r="M111"/>
  <c r="M107" s="1"/>
  <c r="E111"/>
  <c r="E107" s="1"/>
  <c r="M110"/>
  <c r="E110"/>
  <c r="F110" s="1"/>
  <c r="R110" s="1"/>
  <c r="S110" s="1"/>
  <c r="P109"/>
  <c r="E109"/>
  <c r="F109" s="1"/>
  <c r="R109" s="1"/>
  <c r="S109" s="1"/>
  <c r="P108"/>
  <c r="P106" s="1"/>
  <c r="M108"/>
  <c r="E108"/>
  <c r="F108" s="1"/>
  <c r="P107"/>
  <c r="O107"/>
  <c r="D107"/>
  <c r="O106"/>
  <c r="D106"/>
  <c r="D105" s="1"/>
  <c r="C105"/>
  <c r="M104"/>
  <c r="P104" s="1"/>
  <c r="E104"/>
  <c r="F104" s="1"/>
  <c r="G104" s="1"/>
  <c r="M103"/>
  <c r="P103" s="1"/>
  <c r="E103"/>
  <c r="F103" s="1"/>
  <c r="M102"/>
  <c r="E102"/>
  <c r="F102" s="1"/>
  <c r="G102" s="1"/>
  <c r="P101"/>
  <c r="E101"/>
  <c r="F101" s="1"/>
  <c r="M100"/>
  <c r="P100" s="1"/>
  <c r="E100"/>
  <c r="F100" s="1"/>
  <c r="P99"/>
  <c r="E99"/>
  <c r="R98"/>
  <c r="S98" s="1"/>
  <c r="M98"/>
  <c r="P98" s="1"/>
  <c r="G98"/>
  <c r="K98" s="1"/>
  <c r="O97"/>
  <c r="O96" s="1"/>
  <c r="D97"/>
  <c r="D96" s="1"/>
  <c r="C96"/>
  <c r="P95"/>
  <c r="E95"/>
  <c r="F95" s="1"/>
  <c r="G95" s="1"/>
  <c r="K95" s="1"/>
  <c r="L95" s="1"/>
  <c r="M94"/>
  <c r="P94" s="1"/>
  <c r="G94"/>
  <c r="K94" s="1"/>
  <c r="L94" s="1"/>
  <c r="M93"/>
  <c r="P93" s="1"/>
  <c r="G93"/>
  <c r="H93" s="1"/>
  <c r="I93" s="1"/>
  <c r="J93" s="1"/>
  <c r="R92"/>
  <c r="S92" s="1"/>
  <c r="Q92"/>
  <c r="P92"/>
  <c r="M91"/>
  <c r="P91" s="1"/>
  <c r="F91"/>
  <c r="R91" s="1"/>
  <c r="S91" s="1"/>
  <c r="O90"/>
  <c r="M90"/>
  <c r="E90"/>
  <c r="F90" s="1"/>
  <c r="P89"/>
  <c r="E89"/>
  <c r="F89" s="1"/>
  <c r="M88"/>
  <c r="F88"/>
  <c r="G88" s="1"/>
  <c r="M87"/>
  <c r="E87"/>
  <c r="F87" s="1"/>
  <c r="G87" s="1"/>
  <c r="K87" s="1"/>
  <c r="L87" s="1"/>
  <c r="P86"/>
  <c r="E86"/>
  <c r="F86" s="1"/>
  <c r="M85"/>
  <c r="P85" s="1"/>
  <c r="E85"/>
  <c r="F85" s="1"/>
  <c r="M84"/>
  <c r="E84"/>
  <c r="F84" s="1"/>
  <c r="P83"/>
  <c r="E83"/>
  <c r="F83" s="1"/>
  <c r="M82"/>
  <c r="P82" s="1"/>
  <c r="E82"/>
  <c r="F82" s="1"/>
  <c r="M81"/>
  <c r="P81" s="1"/>
  <c r="E81"/>
  <c r="F81" s="1"/>
  <c r="R81" s="1"/>
  <c r="M80"/>
  <c r="P80" s="1"/>
  <c r="E80"/>
  <c r="F80" s="1"/>
  <c r="O79"/>
  <c r="O76" s="1"/>
  <c r="M79"/>
  <c r="P79" s="1"/>
  <c r="E79"/>
  <c r="F79" s="1"/>
  <c r="G79" s="1"/>
  <c r="R78"/>
  <c r="S78" s="1"/>
  <c r="M78"/>
  <c r="P78" s="1"/>
  <c r="G78"/>
  <c r="K78" s="1"/>
  <c r="L78" s="1"/>
  <c r="O77"/>
  <c r="E77"/>
  <c r="D77"/>
  <c r="D76"/>
  <c r="C75"/>
  <c r="P74"/>
  <c r="E74"/>
  <c r="F74" s="1"/>
  <c r="R74" s="1"/>
  <c r="S74" s="1"/>
  <c r="O73"/>
  <c r="P73" s="1"/>
  <c r="E73"/>
  <c r="F73" s="1"/>
  <c r="R73" s="1"/>
  <c r="S73" s="1"/>
  <c r="P72"/>
  <c r="E72"/>
  <c r="F72" s="1"/>
  <c r="M71"/>
  <c r="M70" s="1"/>
  <c r="D71"/>
  <c r="D70" s="1"/>
  <c r="C70"/>
  <c r="M69"/>
  <c r="P69" s="1"/>
  <c r="E69"/>
  <c r="F69" s="1"/>
  <c r="G69" s="1"/>
  <c r="M68"/>
  <c r="P68" s="1"/>
  <c r="E68"/>
  <c r="F68" s="1"/>
  <c r="G68" s="1"/>
  <c r="K68" s="1"/>
  <c r="L68" s="1"/>
  <c r="P67"/>
  <c r="E67"/>
  <c r="F67" s="1"/>
  <c r="R67" s="1"/>
  <c r="S67" s="1"/>
  <c r="M66"/>
  <c r="P66" s="1"/>
  <c r="E66"/>
  <c r="F66" s="1"/>
  <c r="G66" s="1"/>
  <c r="M65"/>
  <c r="E65"/>
  <c r="F65" s="1"/>
  <c r="G65" s="1"/>
  <c r="P64"/>
  <c r="E64"/>
  <c r="F64" s="1"/>
  <c r="P63"/>
  <c r="M63"/>
  <c r="E63"/>
  <c r="F63" s="1"/>
  <c r="M62"/>
  <c r="P62" s="1"/>
  <c r="E62"/>
  <c r="F62" s="1"/>
  <c r="M61"/>
  <c r="E61"/>
  <c r="F61" s="1"/>
  <c r="R60"/>
  <c r="M60"/>
  <c r="P60" s="1"/>
  <c r="D60"/>
  <c r="E60" s="1"/>
  <c r="F60" s="1"/>
  <c r="O59"/>
  <c r="M59"/>
  <c r="E59"/>
  <c r="F59" s="1"/>
  <c r="O58"/>
  <c r="M58"/>
  <c r="P58" s="1"/>
  <c r="E58"/>
  <c r="F58" s="1"/>
  <c r="R58" s="1"/>
  <c r="S58" s="1"/>
  <c r="P57"/>
  <c r="E57"/>
  <c r="F57" s="1"/>
  <c r="R57" s="1"/>
  <c r="S57" s="1"/>
  <c r="M56"/>
  <c r="P56" s="1"/>
  <c r="E56"/>
  <c r="F56" s="1"/>
  <c r="M55"/>
  <c r="P55" s="1"/>
  <c r="E55"/>
  <c r="F55" s="1"/>
  <c r="R55" s="1"/>
  <c r="S55" s="1"/>
  <c r="P54"/>
  <c r="E54"/>
  <c r="F54" s="1"/>
  <c r="R54" s="1"/>
  <c r="S54" s="1"/>
  <c r="M53"/>
  <c r="P53" s="1"/>
  <c r="E53"/>
  <c r="F53" s="1"/>
  <c r="M52"/>
  <c r="P52" s="1"/>
  <c r="E52"/>
  <c r="F52" s="1"/>
  <c r="R52" s="1"/>
  <c r="S52" s="1"/>
  <c r="P51"/>
  <c r="E51"/>
  <c r="F51" s="1"/>
  <c r="R51" s="1"/>
  <c r="S51" s="1"/>
  <c r="O50"/>
  <c r="M50"/>
  <c r="P50" s="1"/>
  <c r="F50"/>
  <c r="R50" s="1"/>
  <c r="O49"/>
  <c r="M49"/>
  <c r="F49"/>
  <c r="R49" s="1"/>
  <c r="S49" s="1"/>
  <c r="E49"/>
  <c r="P48"/>
  <c r="E48"/>
  <c r="F48" s="1"/>
  <c r="M47"/>
  <c r="F47"/>
  <c r="G47" s="1"/>
  <c r="M46"/>
  <c r="P46" s="1"/>
  <c r="E46"/>
  <c r="F46" s="1"/>
  <c r="R46" s="1"/>
  <c r="S46" s="1"/>
  <c r="P45"/>
  <c r="E45"/>
  <c r="F45" s="1"/>
  <c r="R45" s="1"/>
  <c r="S45" s="1"/>
  <c r="M44"/>
  <c r="P44" s="1"/>
  <c r="E44"/>
  <c r="F44" s="1"/>
  <c r="M43"/>
  <c r="P43" s="1"/>
  <c r="F43"/>
  <c r="R43" s="1"/>
  <c r="S43" s="1"/>
  <c r="E43"/>
  <c r="P42"/>
  <c r="M42"/>
  <c r="E42"/>
  <c r="F42" s="1"/>
  <c r="M41"/>
  <c r="E41"/>
  <c r="F41" s="1"/>
  <c r="M40"/>
  <c r="P40" s="1"/>
  <c r="F40"/>
  <c r="R40" s="1"/>
  <c r="S40" s="1"/>
  <c r="E40"/>
  <c r="M39"/>
  <c r="P39" s="1"/>
  <c r="E39"/>
  <c r="F39" s="1"/>
  <c r="M38"/>
  <c r="P38" s="1"/>
  <c r="E38"/>
  <c r="F38" s="1"/>
  <c r="R38" s="1"/>
  <c r="S38" s="1"/>
  <c r="M37"/>
  <c r="P37" s="1"/>
  <c r="E37"/>
  <c r="F37" s="1"/>
  <c r="R36"/>
  <c r="M36"/>
  <c r="P36" s="1"/>
  <c r="E36"/>
  <c r="F36" s="1"/>
  <c r="S36" s="1"/>
  <c r="M35"/>
  <c r="P35" s="1"/>
  <c r="E35"/>
  <c r="F35" s="1"/>
  <c r="M34"/>
  <c r="P34" s="1"/>
  <c r="E34"/>
  <c r="F34" s="1"/>
  <c r="R34" s="1"/>
  <c r="S34" s="1"/>
  <c r="P33"/>
  <c r="E33"/>
  <c r="F33" s="1"/>
  <c r="R33" s="1"/>
  <c r="S33" s="1"/>
  <c r="M32"/>
  <c r="E32"/>
  <c r="F32" s="1"/>
  <c r="M31"/>
  <c r="P31" s="1"/>
  <c r="E31"/>
  <c r="F31" s="1"/>
  <c r="R30"/>
  <c r="S30" s="1"/>
  <c r="M30"/>
  <c r="P30" s="1"/>
  <c r="G30"/>
  <c r="K30" s="1"/>
  <c r="L30" s="1"/>
  <c r="M29"/>
  <c r="E29"/>
  <c r="F29" s="1"/>
  <c r="R29" s="1"/>
  <c r="S29" s="1"/>
  <c r="R28"/>
  <c r="S28" s="1"/>
  <c r="M28"/>
  <c r="G28"/>
  <c r="K28" s="1"/>
  <c r="L28" s="1"/>
  <c r="P27"/>
  <c r="E27"/>
  <c r="F27" s="1"/>
  <c r="G27" s="1"/>
  <c r="M26"/>
  <c r="E26"/>
  <c r="F26" s="1"/>
  <c r="M25"/>
  <c r="E25"/>
  <c r="F25" s="1"/>
  <c r="M24"/>
  <c r="E24"/>
  <c r="F24" s="1"/>
  <c r="M23"/>
  <c r="G23"/>
  <c r="K23" s="1"/>
  <c r="L23" s="1"/>
  <c r="R22"/>
  <c r="S22" s="1"/>
  <c r="O22"/>
  <c r="M22"/>
  <c r="G22"/>
  <c r="K22" s="1"/>
  <c r="L22" s="1"/>
  <c r="R21"/>
  <c r="S21" s="1"/>
  <c r="M21"/>
  <c r="P21" s="1"/>
  <c r="G21"/>
  <c r="K21" s="1"/>
  <c r="O20"/>
  <c r="O17" s="1"/>
  <c r="D20"/>
  <c r="D17" s="1"/>
  <c r="O19"/>
  <c r="D19"/>
  <c r="C18"/>
  <c r="C9" s="1"/>
  <c r="F129" l="1"/>
  <c r="E124"/>
  <c r="E123" s="1"/>
  <c r="F130"/>
  <c r="E125"/>
  <c r="M19"/>
  <c r="F77"/>
  <c r="P22"/>
  <c r="O105"/>
  <c r="R47"/>
  <c r="S47" s="1"/>
  <c r="D75"/>
  <c r="D16"/>
  <c r="D15" s="1"/>
  <c r="H94"/>
  <c r="I94" s="1"/>
  <c r="J94" s="1"/>
  <c r="R23"/>
  <c r="S42"/>
  <c r="G42"/>
  <c r="K42" s="1"/>
  <c r="L42" s="1"/>
  <c r="E20"/>
  <c r="E14" s="1"/>
  <c r="O71"/>
  <c r="O70" s="1"/>
  <c r="O75"/>
  <c r="N23"/>
  <c r="G49"/>
  <c r="K49" s="1"/>
  <c r="L49" s="1"/>
  <c r="E71"/>
  <c r="E70" s="1"/>
  <c r="G91"/>
  <c r="H91" s="1"/>
  <c r="I91" s="1"/>
  <c r="J91" s="1"/>
  <c r="M125"/>
  <c r="O133"/>
  <c r="O132" s="1"/>
  <c r="R59"/>
  <c r="S59" s="1"/>
  <c r="G59"/>
  <c r="K59" s="1"/>
  <c r="L59" s="1"/>
  <c r="R32"/>
  <c r="S32" s="1"/>
  <c r="G32"/>
  <c r="K32" s="1"/>
  <c r="L32" s="1"/>
  <c r="G48"/>
  <c r="K48" s="1"/>
  <c r="L48" s="1"/>
  <c r="Q48" s="1"/>
  <c r="R48"/>
  <c r="S48" s="1"/>
  <c r="R63"/>
  <c r="S63" s="1"/>
  <c r="G63"/>
  <c r="K63" s="1"/>
  <c r="L63" s="1"/>
  <c r="G141"/>
  <c r="K141" s="1"/>
  <c r="L141" s="1"/>
  <c r="N141" s="1"/>
  <c r="R141"/>
  <c r="S141" s="1"/>
  <c r="R72"/>
  <c r="F71"/>
  <c r="F70" s="1"/>
  <c r="R114"/>
  <c r="G114"/>
  <c r="K114" s="1"/>
  <c r="D11"/>
  <c r="O18"/>
  <c r="N28"/>
  <c r="G40"/>
  <c r="K40" s="1"/>
  <c r="L40" s="1"/>
  <c r="G67"/>
  <c r="K67" s="1"/>
  <c r="L67" s="1"/>
  <c r="Q67" s="1"/>
  <c r="G73"/>
  <c r="H73" s="1"/>
  <c r="I73" s="1"/>
  <c r="J73" s="1"/>
  <c r="Q73" s="1"/>
  <c r="H78"/>
  <c r="I78" s="1"/>
  <c r="H87"/>
  <c r="I87" s="1"/>
  <c r="J87" s="1"/>
  <c r="Q87" s="1"/>
  <c r="D14"/>
  <c r="D18"/>
  <c r="M124"/>
  <c r="M123" s="1"/>
  <c r="G128"/>
  <c r="K128" s="1"/>
  <c r="L128" s="1"/>
  <c r="G131"/>
  <c r="K131" s="1"/>
  <c r="L131" s="1"/>
  <c r="N131" s="1"/>
  <c r="E113"/>
  <c r="E112" s="1"/>
  <c r="O124"/>
  <c r="O123" s="1"/>
  <c r="P133"/>
  <c r="P132" s="1"/>
  <c r="P28"/>
  <c r="Q23"/>
  <c r="Q28"/>
  <c r="P25"/>
  <c r="Q94"/>
  <c r="M76"/>
  <c r="M77"/>
  <c r="Q91"/>
  <c r="M20"/>
  <c r="P59"/>
  <c r="M113"/>
  <c r="M112" s="1"/>
  <c r="P49"/>
  <c r="P105"/>
  <c r="P113"/>
  <c r="P112" s="1"/>
  <c r="K27"/>
  <c r="L27" s="1"/>
  <c r="Q27" s="1"/>
  <c r="H27"/>
  <c r="I27" s="1"/>
  <c r="J27" s="1"/>
  <c r="G25"/>
  <c r="R25"/>
  <c r="L21"/>
  <c r="S24"/>
  <c r="G24"/>
  <c r="F19"/>
  <c r="N30"/>
  <c r="Q30"/>
  <c r="G31"/>
  <c r="S31"/>
  <c r="G37"/>
  <c r="R37"/>
  <c r="S37" s="1"/>
  <c r="G44"/>
  <c r="R44"/>
  <c r="S44" s="1"/>
  <c r="G56"/>
  <c r="R56"/>
  <c r="S56" s="1"/>
  <c r="N59"/>
  <c r="Q59"/>
  <c r="L98"/>
  <c r="E19"/>
  <c r="N49"/>
  <c r="Q49"/>
  <c r="G53"/>
  <c r="R53"/>
  <c r="S53" s="1"/>
  <c r="F20"/>
  <c r="S60"/>
  <c r="G60"/>
  <c r="S61"/>
  <c r="G61"/>
  <c r="H65"/>
  <c r="I65" s="1"/>
  <c r="J65" s="1"/>
  <c r="S65" s="1"/>
  <c r="K65"/>
  <c r="L65" s="1"/>
  <c r="Q65" s="1"/>
  <c r="N68"/>
  <c r="Q68"/>
  <c r="K69"/>
  <c r="L69" s="1"/>
  <c r="H69"/>
  <c r="I69" s="1"/>
  <c r="J69" s="1"/>
  <c r="S69" s="1"/>
  <c r="S72"/>
  <c r="S71" s="1"/>
  <c r="S70" s="1"/>
  <c r="R71"/>
  <c r="R70" s="1"/>
  <c r="K79"/>
  <c r="L79" s="1"/>
  <c r="N79" s="1"/>
  <c r="H79"/>
  <c r="G80"/>
  <c r="F76"/>
  <c r="F75" s="1"/>
  <c r="R82"/>
  <c r="S82" s="1"/>
  <c r="G82"/>
  <c r="G39"/>
  <c r="S39"/>
  <c r="R41"/>
  <c r="S41" s="1"/>
  <c r="G41"/>
  <c r="N42"/>
  <c r="Q42"/>
  <c r="S50"/>
  <c r="N63"/>
  <c r="Q63"/>
  <c r="J78"/>
  <c r="N40"/>
  <c r="Q40"/>
  <c r="N22"/>
  <c r="Q22"/>
  <c r="R26"/>
  <c r="S26" s="1"/>
  <c r="G26"/>
  <c r="N32"/>
  <c r="Q32"/>
  <c r="G35"/>
  <c r="R35"/>
  <c r="S35" s="1"/>
  <c r="H47"/>
  <c r="K47"/>
  <c r="G62"/>
  <c r="S62"/>
  <c r="R64"/>
  <c r="S64" s="1"/>
  <c r="G64"/>
  <c r="K66"/>
  <c r="L66" s="1"/>
  <c r="Q66" s="1"/>
  <c r="H66"/>
  <c r="I66" s="1"/>
  <c r="J66" s="1"/>
  <c r="S66" s="1"/>
  <c r="S81"/>
  <c r="G84"/>
  <c r="R84"/>
  <c r="S84" s="1"/>
  <c r="R89"/>
  <c r="S89" s="1"/>
  <c r="G89"/>
  <c r="F99"/>
  <c r="E97"/>
  <c r="E96" s="1"/>
  <c r="R101"/>
  <c r="S101" s="1"/>
  <c r="G101"/>
  <c r="G116"/>
  <c r="R116"/>
  <c r="S116" s="1"/>
  <c r="G120"/>
  <c r="R120"/>
  <c r="S120" s="1"/>
  <c r="S126"/>
  <c r="G134"/>
  <c r="F133"/>
  <c r="F132" s="1"/>
  <c r="R134"/>
  <c r="G152"/>
  <c r="R152"/>
  <c r="S152" s="1"/>
  <c r="D10"/>
  <c r="D9" s="1"/>
  <c r="D8" s="1"/>
  <c r="O10"/>
  <c r="O11"/>
  <c r="O13"/>
  <c r="O14"/>
  <c r="O16"/>
  <c r="O15" s="1"/>
  <c r="H23"/>
  <c r="I23" s="1"/>
  <c r="J23" s="1"/>
  <c r="P24"/>
  <c r="H30"/>
  <c r="I30" s="1"/>
  <c r="J30" s="1"/>
  <c r="P41"/>
  <c r="P47"/>
  <c r="G50"/>
  <c r="P61"/>
  <c r="P65"/>
  <c r="G72"/>
  <c r="G74"/>
  <c r="E76"/>
  <c r="E75" s="1"/>
  <c r="G81"/>
  <c r="N94"/>
  <c r="H95"/>
  <c r="I95" s="1"/>
  <c r="J95" s="1"/>
  <c r="Q95" s="1"/>
  <c r="R83"/>
  <c r="S83" s="1"/>
  <c r="G83"/>
  <c r="R86"/>
  <c r="S86" s="1"/>
  <c r="G86"/>
  <c r="P88"/>
  <c r="P77" s="1"/>
  <c r="G90"/>
  <c r="R90"/>
  <c r="S90" s="1"/>
  <c r="K102"/>
  <c r="L102" s="1"/>
  <c r="N102" s="1"/>
  <c r="H102"/>
  <c r="I102" s="1"/>
  <c r="J102" s="1"/>
  <c r="G103"/>
  <c r="R103"/>
  <c r="S103" s="1"/>
  <c r="G108"/>
  <c r="F106"/>
  <c r="R108"/>
  <c r="L114"/>
  <c r="P139"/>
  <c r="G146"/>
  <c r="R146"/>
  <c r="S146" s="1"/>
  <c r="K149"/>
  <c r="L149" s="1"/>
  <c r="N149" s="1"/>
  <c r="H149"/>
  <c r="I149" s="1"/>
  <c r="J149" s="1"/>
  <c r="Q149" s="1"/>
  <c r="H153"/>
  <c r="I153" s="1"/>
  <c r="J153" s="1"/>
  <c r="Q153" s="1"/>
  <c r="K153"/>
  <c r="L153" s="1"/>
  <c r="N153" s="1"/>
  <c r="H21"/>
  <c r="H22"/>
  <c r="I22" s="1"/>
  <c r="J22" s="1"/>
  <c r="P23"/>
  <c r="P26"/>
  <c r="G29"/>
  <c r="P29"/>
  <c r="H32"/>
  <c r="I32" s="1"/>
  <c r="J32" s="1"/>
  <c r="G33"/>
  <c r="G34"/>
  <c r="G36"/>
  <c r="G38"/>
  <c r="H40"/>
  <c r="I40" s="1"/>
  <c r="J40" s="1"/>
  <c r="H42"/>
  <c r="I42" s="1"/>
  <c r="J42" s="1"/>
  <c r="G43"/>
  <c r="G45"/>
  <c r="G46"/>
  <c r="H48"/>
  <c r="I48" s="1"/>
  <c r="J48" s="1"/>
  <c r="H49"/>
  <c r="I49" s="1"/>
  <c r="J49" s="1"/>
  <c r="G51"/>
  <c r="G52"/>
  <c r="G54"/>
  <c r="G55"/>
  <c r="G57"/>
  <c r="G58"/>
  <c r="H59"/>
  <c r="I59" s="1"/>
  <c r="J59" s="1"/>
  <c r="H63"/>
  <c r="I63" s="1"/>
  <c r="J63" s="1"/>
  <c r="H67"/>
  <c r="I67" s="1"/>
  <c r="J67" s="1"/>
  <c r="H68"/>
  <c r="I68" s="1"/>
  <c r="J68" s="1"/>
  <c r="S68" s="1"/>
  <c r="N87"/>
  <c r="R85"/>
  <c r="G85"/>
  <c r="H98"/>
  <c r="H104"/>
  <c r="I104" s="1"/>
  <c r="J104" s="1"/>
  <c r="K104"/>
  <c r="L104" s="1"/>
  <c r="N104" s="1"/>
  <c r="S114"/>
  <c r="G118"/>
  <c r="R118"/>
  <c r="S118" s="1"/>
  <c r="G122"/>
  <c r="R122"/>
  <c r="S122" s="1"/>
  <c r="G127"/>
  <c r="R127"/>
  <c r="S127" s="1"/>
  <c r="G129"/>
  <c r="R129"/>
  <c r="S129" s="1"/>
  <c r="G130"/>
  <c r="R130"/>
  <c r="F125"/>
  <c r="G136"/>
  <c r="R136"/>
  <c r="S136" s="1"/>
  <c r="F138"/>
  <c r="F137" s="1"/>
  <c r="G140"/>
  <c r="F139"/>
  <c r="R139" s="1"/>
  <c r="S139" s="1"/>
  <c r="R140"/>
  <c r="G151"/>
  <c r="R151"/>
  <c r="S151" s="1"/>
  <c r="H28"/>
  <c r="I28" s="1"/>
  <c r="J28" s="1"/>
  <c r="K91"/>
  <c r="L91" s="1"/>
  <c r="N91" s="1"/>
  <c r="K93"/>
  <c r="L93" s="1"/>
  <c r="N93" s="1"/>
  <c r="K88"/>
  <c r="L88" s="1"/>
  <c r="N88" s="1"/>
  <c r="H88"/>
  <c r="I88" s="1"/>
  <c r="J88" s="1"/>
  <c r="Q88" s="1"/>
  <c r="P90"/>
  <c r="S93"/>
  <c r="Q93"/>
  <c r="G100"/>
  <c r="R100"/>
  <c r="S100" s="1"/>
  <c r="P102"/>
  <c r="P97" s="1"/>
  <c r="P96" s="1"/>
  <c r="M97"/>
  <c r="G144"/>
  <c r="F143"/>
  <c r="R143" s="1"/>
  <c r="S143" s="1"/>
  <c r="R144"/>
  <c r="S144" s="1"/>
  <c r="G147"/>
  <c r="R147"/>
  <c r="S147" s="1"/>
  <c r="D13"/>
  <c r="D12" s="1"/>
  <c r="P71"/>
  <c r="P70" s="1"/>
  <c r="K73"/>
  <c r="L73" s="1"/>
  <c r="N73" s="1"/>
  <c r="S149"/>
  <c r="G109"/>
  <c r="G110"/>
  <c r="F111"/>
  <c r="H114"/>
  <c r="F115"/>
  <c r="G117"/>
  <c r="G119"/>
  <c r="G121"/>
  <c r="F124"/>
  <c r="G126"/>
  <c r="P126"/>
  <c r="P124" s="1"/>
  <c r="P123" s="1"/>
  <c r="H128"/>
  <c r="I128" s="1"/>
  <c r="J128" s="1"/>
  <c r="Q128" s="1"/>
  <c r="H131"/>
  <c r="I131" s="1"/>
  <c r="J131" s="1"/>
  <c r="Q131" s="1"/>
  <c r="G135"/>
  <c r="H141"/>
  <c r="I141" s="1"/>
  <c r="J141" s="1"/>
  <c r="Q141" s="1"/>
  <c r="G142"/>
  <c r="G145"/>
  <c r="G148"/>
  <c r="G150"/>
  <c r="P84"/>
  <c r="P87"/>
  <c r="P147"/>
  <c r="P149"/>
  <c r="P152"/>
  <c r="E106"/>
  <c r="E105" s="1"/>
  <c r="M106"/>
  <c r="E133"/>
  <c r="E132" s="1"/>
  <c r="E139"/>
  <c r="E143"/>
  <c r="M143"/>
  <c r="P75" l="1"/>
  <c r="S20"/>
  <c r="R20"/>
  <c r="E11"/>
  <c r="E17"/>
  <c r="N65"/>
  <c r="P19"/>
  <c r="F123"/>
  <c r="G76"/>
  <c r="O9"/>
  <c r="O8" s="1"/>
  <c r="P138"/>
  <c r="P137" s="1"/>
  <c r="M75"/>
  <c r="M17"/>
  <c r="M11"/>
  <c r="M14"/>
  <c r="M18"/>
  <c r="P20"/>
  <c r="P17" s="1"/>
  <c r="H142"/>
  <c r="I142" s="1"/>
  <c r="J142" s="1"/>
  <c r="Q142" s="1"/>
  <c r="K142"/>
  <c r="L142" s="1"/>
  <c r="N142" s="1"/>
  <c r="H126"/>
  <c r="G124"/>
  <c r="K126"/>
  <c r="H117"/>
  <c r="I117" s="1"/>
  <c r="J117" s="1"/>
  <c r="Q117" s="1"/>
  <c r="K117"/>
  <c r="L117" s="1"/>
  <c r="N117" s="1"/>
  <c r="K136"/>
  <c r="L136" s="1"/>
  <c r="N136" s="1"/>
  <c r="H136"/>
  <c r="I136" s="1"/>
  <c r="J136" s="1"/>
  <c r="Q136" s="1"/>
  <c r="I98"/>
  <c r="K54"/>
  <c r="L54" s="1"/>
  <c r="Q54" s="1"/>
  <c r="H54"/>
  <c r="I54" s="1"/>
  <c r="J54" s="1"/>
  <c r="K43"/>
  <c r="L43" s="1"/>
  <c r="H43"/>
  <c r="I43" s="1"/>
  <c r="J43" s="1"/>
  <c r="K36"/>
  <c r="L36" s="1"/>
  <c r="H36"/>
  <c r="I36" s="1"/>
  <c r="J36" s="1"/>
  <c r="S108"/>
  <c r="S106" s="1"/>
  <c r="R106"/>
  <c r="K103"/>
  <c r="L103" s="1"/>
  <c r="N103" s="1"/>
  <c r="H103"/>
  <c r="I103" s="1"/>
  <c r="J103" s="1"/>
  <c r="Q103" s="1"/>
  <c r="K90"/>
  <c r="L90" s="1"/>
  <c r="N90" s="1"/>
  <c r="H90"/>
  <c r="I90" s="1"/>
  <c r="J90" s="1"/>
  <c r="Q90" s="1"/>
  <c r="H72"/>
  <c r="K72"/>
  <c r="G71"/>
  <c r="G70" s="1"/>
  <c r="K152"/>
  <c r="L152" s="1"/>
  <c r="N152" s="1"/>
  <c r="H152"/>
  <c r="I152" s="1"/>
  <c r="J152" s="1"/>
  <c r="Q152" s="1"/>
  <c r="I47"/>
  <c r="Q78"/>
  <c r="N69"/>
  <c r="Q69"/>
  <c r="F18"/>
  <c r="R124"/>
  <c r="H145"/>
  <c r="I145" s="1"/>
  <c r="J145" s="1"/>
  <c r="Q145" s="1"/>
  <c r="K145"/>
  <c r="L145" s="1"/>
  <c r="N145" s="1"/>
  <c r="H119"/>
  <c r="I119" s="1"/>
  <c r="J119" s="1"/>
  <c r="Q119" s="1"/>
  <c r="K119"/>
  <c r="L119" s="1"/>
  <c r="N119" s="1"/>
  <c r="H109"/>
  <c r="I109" s="1"/>
  <c r="J109" s="1"/>
  <c r="Q109" s="1"/>
  <c r="K109"/>
  <c r="L109" s="1"/>
  <c r="K147"/>
  <c r="L147" s="1"/>
  <c r="N147" s="1"/>
  <c r="H147"/>
  <c r="I147" s="1"/>
  <c r="J147" s="1"/>
  <c r="Q147" s="1"/>
  <c r="M96"/>
  <c r="M16"/>
  <c r="M10"/>
  <c r="M13"/>
  <c r="K100"/>
  <c r="L100" s="1"/>
  <c r="N100" s="1"/>
  <c r="H100"/>
  <c r="I100" s="1"/>
  <c r="J100" s="1"/>
  <c r="Q100" s="1"/>
  <c r="R138"/>
  <c r="R137" s="1"/>
  <c r="S140"/>
  <c r="S138" s="1"/>
  <c r="S137" s="1"/>
  <c r="K130"/>
  <c r="G125"/>
  <c r="H130"/>
  <c r="K127"/>
  <c r="L127" s="1"/>
  <c r="N127" s="1"/>
  <c r="H127"/>
  <c r="I127" s="1"/>
  <c r="J127" s="1"/>
  <c r="Q127" s="1"/>
  <c r="K118"/>
  <c r="L118" s="1"/>
  <c r="N118" s="1"/>
  <c r="H118"/>
  <c r="I118" s="1"/>
  <c r="J118" s="1"/>
  <c r="Q118" s="1"/>
  <c r="Q104"/>
  <c r="S104"/>
  <c r="S85"/>
  <c r="S77" s="1"/>
  <c r="R77"/>
  <c r="K55"/>
  <c r="L55" s="1"/>
  <c r="H55"/>
  <c r="I55" s="1"/>
  <c r="J55" s="1"/>
  <c r="K45"/>
  <c r="L45" s="1"/>
  <c r="Q45" s="1"/>
  <c r="H45"/>
  <c r="I45" s="1"/>
  <c r="J45" s="1"/>
  <c r="K38"/>
  <c r="L38" s="1"/>
  <c r="H38"/>
  <c r="I38" s="1"/>
  <c r="J38" s="1"/>
  <c r="K146"/>
  <c r="L146" s="1"/>
  <c r="N146" s="1"/>
  <c r="H146"/>
  <c r="I146" s="1"/>
  <c r="J146" s="1"/>
  <c r="Q146" s="1"/>
  <c r="N114"/>
  <c r="K86"/>
  <c r="L86" s="1"/>
  <c r="H86"/>
  <c r="I86" s="1"/>
  <c r="J86" s="1"/>
  <c r="Q86" s="1"/>
  <c r="H74"/>
  <c r="I74" s="1"/>
  <c r="J74" s="1"/>
  <c r="Q74" s="1"/>
  <c r="K74"/>
  <c r="L74" s="1"/>
  <c r="N74" s="1"/>
  <c r="H50"/>
  <c r="I50" s="1"/>
  <c r="J50" s="1"/>
  <c r="K50"/>
  <c r="L50" s="1"/>
  <c r="K134"/>
  <c r="H134"/>
  <c r="G133"/>
  <c r="G132" s="1"/>
  <c r="K120"/>
  <c r="L120" s="1"/>
  <c r="N120" s="1"/>
  <c r="H120"/>
  <c r="I120" s="1"/>
  <c r="J120" s="1"/>
  <c r="Q120" s="1"/>
  <c r="H41"/>
  <c r="I41" s="1"/>
  <c r="J41" s="1"/>
  <c r="K41"/>
  <c r="L41" s="1"/>
  <c r="H82"/>
  <c r="I82" s="1"/>
  <c r="J82" s="1"/>
  <c r="Q82" s="1"/>
  <c r="K82"/>
  <c r="L82" s="1"/>
  <c r="N82" s="1"/>
  <c r="I79"/>
  <c r="K60"/>
  <c r="L60" s="1"/>
  <c r="H60"/>
  <c r="I60" s="1"/>
  <c r="J60" s="1"/>
  <c r="K53"/>
  <c r="L53" s="1"/>
  <c r="H53"/>
  <c r="I53" s="1"/>
  <c r="J53" s="1"/>
  <c r="K56"/>
  <c r="L56" s="1"/>
  <c r="H56"/>
  <c r="I56" s="1"/>
  <c r="J56" s="1"/>
  <c r="K37"/>
  <c r="L37" s="1"/>
  <c r="H37"/>
  <c r="I37" s="1"/>
  <c r="J37" s="1"/>
  <c r="N21"/>
  <c r="Q21"/>
  <c r="P143"/>
  <c r="O12"/>
  <c r="G20"/>
  <c r="N66"/>
  <c r="P76"/>
  <c r="P10" s="1"/>
  <c r="O143"/>
  <c r="M105"/>
  <c r="H148"/>
  <c r="I148" s="1"/>
  <c r="J148" s="1"/>
  <c r="Q148" s="1"/>
  <c r="K148"/>
  <c r="L148" s="1"/>
  <c r="N148" s="1"/>
  <c r="H135"/>
  <c r="I135" s="1"/>
  <c r="J135" s="1"/>
  <c r="Q135" s="1"/>
  <c r="K135"/>
  <c r="L135" s="1"/>
  <c r="N135" s="1"/>
  <c r="H121"/>
  <c r="I121" s="1"/>
  <c r="J121" s="1"/>
  <c r="Q121" s="1"/>
  <c r="K121"/>
  <c r="L121" s="1"/>
  <c r="N121" s="1"/>
  <c r="I114"/>
  <c r="H110"/>
  <c r="I110" s="1"/>
  <c r="J110" s="1"/>
  <c r="Q110" s="1"/>
  <c r="K110"/>
  <c r="L110" s="1"/>
  <c r="N110" s="1"/>
  <c r="K144"/>
  <c r="H144"/>
  <c r="G143"/>
  <c r="K151"/>
  <c r="L151" s="1"/>
  <c r="N151" s="1"/>
  <c r="H151"/>
  <c r="I151" s="1"/>
  <c r="J151" s="1"/>
  <c r="Q151" s="1"/>
  <c r="S130"/>
  <c r="S125" s="1"/>
  <c r="R125"/>
  <c r="H85"/>
  <c r="G77"/>
  <c r="G75" s="1"/>
  <c r="K85"/>
  <c r="K57"/>
  <c r="L57" s="1"/>
  <c r="Q57" s="1"/>
  <c r="H57"/>
  <c r="I57" s="1"/>
  <c r="J57" s="1"/>
  <c r="K51"/>
  <c r="L51" s="1"/>
  <c r="Q51" s="1"/>
  <c r="H51"/>
  <c r="I51" s="1"/>
  <c r="J51" s="1"/>
  <c r="K46"/>
  <c r="L46" s="1"/>
  <c r="H46"/>
  <c r="I46" s="1"/>
  <c r="J46" s="1"/>
  <c r="K33"/>
  <c r="L33" s="1"/>
  <c r="Q33" s="1"/>
  <c r="H33"/>
  <c r="I33" s="1"/>
  <c r="J33" s="1"/>
  <c r="K108"/>
  <c r="H108"/>
  <c r="G106"/>
  <c r="H81"/>
  <c r="I81" s="1"/>
  <c r="J81" s="1"/>
  <c r="Q81" s="1"/>
  <c r="K81"/>
  <c r="L81" s="1"/>
  <c r="N81" s="1"/>
  <c r="H101"/>
  <c r="I101" s="1"/>
  <c r="J101" s="1"/>
  <c r="Q101" s="1"/>
  <c r="K101"/>
  <c r="L101" s="1"/>
  <c r="N101" s="1"/>
  <c r="K89"/>
  <c r="L89" s="1"/>
  <c r="H89"/>
  <c r="I89" s="1"/>
  <c r="J89" s="1"/>
  <c r="Q89" s="1"/>
  <c r="H64"/>
  <c r="I64" s="1"/>
  <c r="J64" s="1"/>
  <c r="K64"/>
  <c r="L64" s="1"/>
  <c r="Q64" s="1"/>
  <c r="L47"/>
  <c r="K20"/>
  <c r="K35"/>
  <c r="L35" s="1"/>
  <c r="H35"/>
  <c r="I35" s="1"/>
  <c r="J35" s="1"/>
  <c r="K39"/>
  <c r="L39" s="1"/>
  <c r="H39"/>
  <c r="I39" s="1"/>
  <c r="J39" s="1"/>
  <c r="K80"/>
  <c r="H80"/>
  <c r="I80" s="1"/>
  <c r="J80" s="1"/>
  <c r="N98"/>
  <c r="K25"/>
  <c r="L25" s="1"/>
  <c r="H25"/>
  <c r="I25" s="1"/>
  <c r="J25" s="1"/>
  <c r="R76"/>
  <c r="R75" s="1"/>
  <c r="H150"/>
  <c r="I150" s="1"/>
  <c r="J150" s="1"/>
  <c r="Q150" s="1"/>
  <c r="K150"/>
  <c r="L150" s="1"/>
  <c r="N150" s="1"/>
  <c r="G115"/>
  <c r="R115"/>
  <c r="F113"/>
  <c r="F112" s="1"/>
  <c r="G111"/>
  <c r="R111"/>
  <c r="F107"/>
  <c r="F14" s="1"/>
  <c r="K140"/>
  <c r="G138"/>
  <c r="G137" s="1"/>
  <c r="H140"/>
  <c r="G139"/>
  <c r="K129"/>
  <c r="L129" s="1"/>
  <c r="N129" s="1"/>
  <c r="H129"/>
  <c r="I129" s="1"/>
  <c r="J129" s="1"/>
  <c r="Q129" s="1"/>
  <c r="K122"/>
  <c r="L122" s="1"/>
  <c r="N122" s="1"/>
  <c r="H122"/>
  <c r="I122" s="1"/>
  <c r="J122" s="1"/>
  <c r="Q122" s="1"/>
  <c r="K58"/>
  <c r="L58" s="1"/>
  <c r="H58"/>
  <c r="I58" s="1"/>
  <c r="J58" s="1"/>
  <c r="K52"/>
  <c r="L52" s="1"/>
  <c r="H52"/>
  <c r="I52" s="1"/>
  <c r="J52" s="1"/>
  <c r="K34"/>
  <c r="L34" s="1"/>
  <c r="H34"/>
  <c r="I34" s="1"/>
  <c r="J34" s="1"/>
  <c r="K29"/>
  <c r="L29" s="1"/>
  <c r="H29"/>
  <c r="I29" s="1"/>
  <c r="J29" s="1"/>
  <c r="I21"/>
  <c r="Q102"/>
  <c r="S102"/>
  <c r="K83"/>
  <c r="L83" s="1"/>
  <c r="H83"/>
  <c r="I83" s="1"/>
  <c r="J83" s="1"/>
  <c r="Q83" s="1"/>
  <c r="S134"/>
  <c r="S133" s="1"/>
  <c r="S132" s="1"/>
  <c r="R133"/>
  <c r="R132" s="1"/>
  <c r="K116"/>
  <c r="L116" s="1"/>
  <c r="N116" s="1"/>
  <c r="H116"/>
  <c r="I116" s="1"/>
  <c r="J116" s="1"/>
  <c r="Q116" s="1"/>
  <c r="G99"/>
  <c r="F97"/>
  <c r="F96" s="1"/>
  <c r="R99"/>
  <c r="K84"/>
  <c r="L84" s="1"/>
  <c r="N84" s="1"/>
  <c r="H84"/>
  <c r="I84" s="1"/>
  <c r="J84" s="1"/>
  <c r="Q84" s="1"/>
  <c r="K62"/>
  <c r="L62" s="1"/>
  <c r="H62"/>
  <c r="I62" s="1"/>
  <c r="J62" s="1"/>
  <c r="K26"/>
  <c r="L26" s="1"/>
  <c r="H26"/>
  <c r="I26" s="1"/>
  <c r="J26" s="1"/>
  <c r="H61"/>
  <c r="I61" s="1"/>
  <c r="J61" s="1"/>
  <c r="K61"/>
  <c r="L61" s="1"/>
  <c r="E18"/>
  <c r="E10"/>
  <c r="E9" s="1"/>
  <c r="E8" s="1"/>
  <c r="E13"/>
  <c r="E12" s="1"/>
  <c r="E16"/>
  <c r="K44"/>
  <c r="L44" s="1"/>
  <c r="H44"/>
  <c r="I44" s="1"/>
  <c r="J44" s="1"/>
  <c r="K31"/>
  <c r="L31" s="1"/>
  <c r="H31"/>
  <c r="I31" s="1"/>
  <c r="J31" s="1"/>
  <c r="H24"/>
  <c r="I24" s="1"/>
  <c r="J24" s="1"/>
  <c r="G19"/>
  <c r="K24"/>
  <c r="S25"/>
  <c r="S19" s="1"/>
  <c r="R19"/>
  <c r="S124"/>
  <c r="F105" l="1"/>
  <c r="E15"/>
  <c r="F11"/>
  <c r="F17"/>
  <c r="P14"/>
  <c r="P18"/>
  <c r="P11"/>
  <c r="P9" s="1"/>
  <c r="P8" s="1"/>
  <c r="S18"/>
  <c r="Q62"/>
  <c r="N62"/>
  <c r="S115"/>
  <c r="R113"/>
  <c r="L144"/>
  <c r="K143"/>
  <c r="J114"/>
  <c r="Q41"/>
  <c r="N41"/>
  <c r="I134"/>
  <c r="H133"/>
  <c r="H132" s="1"/>
  <c r="K125"/>
  <c r="L130"/>
  <c r="J47"/>
  <c r="J20" s="1"/>
  <c r="I20"/>
  <c r="I72"/>
  <c r="H71"/>
  <c r="H70" s="1"/>
  <c r="N36"/>
  <c r="Q36"/>
  <c r="H76"/>
  <c r="F10"/>
  <c r="F9" s="1"/>
  <c r="F8" s="1"/>
  <c r="G123"/>
  <c r="R18"/>
  <c r="Q44"/>
  <c r="N44"/>
  <c r="Q61"/>
  <c r="N61"/>
  <c r="R97"/>
  <c r="R96" s="1"/>
  <c r="S99"/>
  <c r="S97" s="1"/>
  <c r="S96" s="1"/>
  <c r="N34"/>
  <c r="Q34"/>
  <c r="Q58"/>
  <c r="N58"/>
  <c r="K138"/>
  <c r="K137" s="1"/>
  <c r="L140"/>
  <c r="K139"/>
  <c r="Q39"/>
  <c r="N39"/>
  <c r="Q47"/>
  <c r="L20"/>
  <c r="N47"/>
  <c r="L85"/>
  <c r="K77"/>
  <c r="I144"/>
  <c r="H143"/>
  <c r="Q56"/>
  <c r="N56"/>
  <c r="N60"/>
  <c r="Q60"/>
  <c r="M15"/>
  <c r="K71"/>
  <c r="K70" s="1"/>
  <c r="L72"/>
  <c r="L126"/>
  <c r="K124"/>
  <c r="K123" s="1"/>
  <c r="H19"/>
  <c r="F13"/>
  <c r="F12" s="1"/>
  <c r="H20"/>
  <c r="P16"/>
  <c r="P15" s="1"/>
  <c r="G18"/>
  <c r="Q26"/>
  <c r="N26"/>
  <c r="J21"/>
  <c r="J19" s="1"/>
  <c r="I19"/>
  <c r="K111"/>
  <c r="H111"/>
  <c r="G107"/>
  <c r="G17" s="1"/>
  <c r="Q25"/>
  <c r="N25"/>
  <c r="L80"/>
  <c r="K76"/>
  <c r="K75" s="1"/>
  <c r="Q50"/>
  <c r="N50"/>
  <c r="H125"/>
  <c r="I130"/>
  <c r="M9"/>
  <c r="N43"/>
  <c r="Q43"/>
  <c r="J98"/>
  <c r="R123"/>
  <c r="P13"/>
  <c r="P12" s="1"/>
  <c r="L108"/>
  <c r="K106"/>
  <c r="N46"/>
  <c r="Q46"/>
  <c r="L24"/>
  <c r="K19"/>
  <c r="Q31"/>
  <c r="N31"/>
  <c r="K99"/>
  <c r="H99"/>
  <c r="G97"/>
  <c r="G96" s="1"/>
  <c r="Q29"/>
  <c r="N29"/>
  <c r="N52"/>
  <c r="Q52"/>
  <c r="H138"/>
  <c r="H137" s="1"/>
  <c r="I140"/>
  <c r="H139"/>
  <c r="R107"/>
  <c r="R105" s="1"/>
  <c r="S111"/>
  <c r="K115"/>
  <c r="H115"/>
  <c r="G113"/>
  <c r="G112" s="1"/>
  <c r="Q80"/>
  <c r="S80"/>
  <c r="Q35"/>
  <c r="N35"/>
  <c r="I108"/>
  <c r="H106"/>
  <c r="I85"/>
  <c r="H77"/>
  <c r="Q37"/>
  <c r="N37"/>
  <c r="Q53"/>
  <c r="N53"/>
  <c r="J79"/>
  <c r="I76"/>
  <c r="L134"/>
  <c r="K133"/>
  <c r="K132" s="1"/>
  <c r="N38"/>
  <c r="Q38"/>
  <c r="N55"/>
  <c r="Q55"/>
  <c r="M12"/>
  <c r="I126"/>
  <c r="H124"/>
  <c r="S123"/>
  <c r="F16"/>
  <c r="F15" s="1"/>
  <c r="G14" l="1"/>
  <c r="I99"/>
  <c r="H97"/>
  <c r="H96" s="1"/>
  <c r="H18"/>
  <c r="J144"/>
  <c r="I143"/>
  <c r="N20"/>
  <c r="J134"/>
  <c r="I133"/>
  <c r="I132" s="1"/>
  <c r="Q114"/>
  <c r="H75"/>
  <c r="J126"/>
  <c r="I124"/>
  <c r="N134"/>
  <c r="L133"/>
  <c r="J85"/>
  <c r="I77"/>
  <c r="I115"/>
  <c r="H113"/>
  <c r="H112" s="1"/>
  <c r="L111"/>
  <c r="K107"/>
  <c r="K105" s="1"/>
  <c r="S107"/>
  <c r="R14"/>
  <c r="R17"/>
  <c r="I125"/>
  <c r="J130"/>
  <c r="N80"/>
  <c r="L76"/>
  <c r="I111"/>
  <c r="H107"/>
  <c r="H11" s="1"/>
  <c r="N72"/>
  <c r="L71"/>
  <c r="R112"/>
  <c r="S112" s="1"/>
  <c r="S113"/>
  <c r="H123"/>
  <c r="G11"/>
  <c r="G16"/>
  <c r="G15" s="1"/>
  <c r="R10"/>
  <c r="R11"/>
  <c r="Q79"/>
  <c r="Q76" s="1"/>
  <c r="S79"/>
  <c r="S76" s="1"/>
  <c r="J76"/>
  <c r="Q98"/>
  <c r="J18"/>
  <c r="H17"/>
  <c r="H14"/>
  <c r="N126"/>
  <c r="L124"/>
  <c r="N85"/>
  <c r="L77"/>
  <c r="N77" s="1"/>
  <c r="I71"/>
  <c r="I70" s="1"/>
  <c r="J72"/>
  <c r="N144"/>
  <c r="L143"/>
  <c r="N143" s="1"/>
  <c r="G13"/>
  <c r="G12" s="1"/>
  <c r="R13"/>
  <c r="R12" s="1"/>
  <c r="G105"/>
  <c r="K18"/>
  <c r="J108"/>
  <c r="I106"/>
  <c r="L115"/>
  <c r="K113"/>
  <c r="K112" s="1"/>
  <c r="J140"/>
  <c r="I139"/>
  <c r="I138"/>
  <c r="I137" s="1"/>
  <c r="L99"/>
  <c r="K97"/>
  <c r="K96" s="1"/>
  <c r="Q24"/>
  <c r="Q19" s="1"/>
  <c r="N24"/>
  <c r="L19"/>
  <c r="L106"/>
  <c r="N108"/>
  <c r="M8"/>
  <c r="I18"/>
  <c r="L138"/>
  <c r="N140"/>
  <c r="L139"/>
  <c r="N139" s="1"/>
  <c r="L125"/>
  <c r="N125" s="1"/>
  <c r="N130"/>
  <c r="I75"/>
  <c r="H105"/>
  <c r="G10"/>
  <c r="G9" s="1"/>
  <c r="G8" s="1"/>
  <c r="Q20"/>
  <c r="R16"/>
  <c r="R15" s="1"/>
  <c r="R9" l="1"/>
  <c r="L75"/>
  <c r="N75" s="1"/>
  <c r="N76"/>
  <c r="L107"/>
  <c r="N107" s="1"/>
  <c r="N111"/>
  <c r="Q85"/>
  <c r="Q77" s="1"/>
  <c r="J77"/>
  <c r="Q126"/>
  <c r="Q124" s="1"/>
  <c r="J124"/>
  <c r="J99"/>
  <c r="I97"/>
  <c r="L17"/>
  <c r="N17" s="1"/>
  <c r="H10"/>
  <c r="H9" s="1"/>
  <c r="H8" s="1"/>
  <c r="J138"/>
  <c r="J137" s="1"/>
  <c r="Q140"/>
  <c r="J139"/>
  <c r="J106"/>
  <c r="Q108"/>
  <c r="Q106" s="1"/>
  <c r="Q72"/>
  <c r="Q71" s="1"/>
  <c r="Q70" s="1"/>
  <c r="J71"/>
  <c r="L123"/>
  <c r="N123" s="1"/>
  <c r="N124"/>
  <c r="Q18"/>
  <c r="I107"/>
  <c r="I17" s="1"/>
  <c r="J111"/>
  <c r="K17"/>
  <c r="K11"/>
  <c r="K14"/>
  <c r="K16"/>
  <c r="J75"/>
  <c r="I123"/>
  <c r="Q130"/>
  <c r="Q125" s="1"/>
  <c r="J125"/>
  <c r="S11"/>
  <c r="S14"/>
  <c r="S105"/>
  <c r="S17"/>
  <c r="J115"/>
  <c r="I113"/>
  <c r="I112" s="1"/>
  <c r="J143"/>
  <c r="Q144"/>
  <c r="Q143" s="1"/>
  <c r="I14"/>
  <c r="L11"/>
  <c r="N11" s="1"/>
  <c r="H16"/>
  <c r="H15" s="1"/>
  <c r="L137"/>
  <c r="N137" s="1"/>
  <c r="N138"/>
  <c r="L105"/>
  <c r="N105" s="1"/>
  <c r="N106"/>
  <c r="S75"/>
  <c r="S16"/>
  <c r="S15" s="1"/>
  <c r="S10"/>
  <c r="S13"/>
  <c r="S12" s="1"/>
  <c r="L70"/>
  <c r="N70" s="1"/>
  <c r="N71"/>
  <c r="N115"/>
  <c r="L113"/>
  <c r="L18"/>
  <c r="N18" s="1"/>
  <c r="N19"/>
  <c r="N99"/>
  <c r="L97"/>
  <c r="L16" s="1"/>
  <c r="N133"/>
  <c r="L132"/>
  <c r="N132" s="1"/>
  <c r="J133"/>
  <c r="J132" s="1"/>
  <c r="Q134"/>
  <c r="Q133" s="1"/>
  <c r="Q132" s="1"/>
  <c r="K13"/>
  <c r="K12" s="1"/>
  <c r="K10"/>
  <c r="K9" s="1"/>
  <c r="K8" s="1"/>
  <c r="H13"/>
  <c r="H12" s="1"/>
  <c r="K15" l="1"/>
  <c r="L15"/>
  <c r="N15" s="1"/>
  <c r="N16"/>
  <c r="L96"/>
  <c r="N96" s="1"/>
  <c r="N97"/>
  <c r="J70"/>
  <c r="L112"/>
  <c r="N112" s="1"/>
  <c r="N113"/>
  <c r="L13"/>
  <c r="Q75"/>
  <c r="J123"/>
  <c r="I11"/>
  <c r="Q115"/>
  <c r="Q113" s="1"/>
  <c r="Q112" s="1"/>
  <c r="J113"/>
  <c r="J112" s="1"/>
  <c r="Q99"/>
  <c r="Q97" s="1"/>
  <c r="J97"/>
  <c r="Q111"/>
  <c r="Q107" s="1"/>
  <c r="Q14" s="1"/>
  <c r="J107"/>
  <c r="J105" s="1"/>
  <c r="Q139"/>
  <c r="Q138"/>
  <c r="Q137" s="1"/>
  <c r="I96"/>
  <c r="I16"/>
  <c r="I15" s="1"/>
  <c r="I13"/>
  <c r="I12" s="1"/>
  <c r="I10"/>
  <c r="I9" s="1"/>
  <c r="I8" s="1"/>
  <c r="L10"/>
  <c r="L14"/>
  <c r="N14" s="1"/>
  <c r="I105"/>
  <c r="S9"/>
  <c r="Q123"/>
  <c r="J17" l="1"/>
  <c r="Q13"/>
  <c r="Q12" s="1"/>
  <c r="Q105"/>
  <c r="Q96"/>
  <c r="Q16"/>
  <c r="Q10"/>
  <c r="J11"/>
  <c r="Q17"/>
  <c r="J96"/>
  <c r="J16"/>
  <c r="L9"/>
  <c r="N10"/>
  <c r="L12"/>
  <c r="N12" s="1"/>
  <c r="N13"/>
  <c r="J14"/>
  <c r="Q11"/>
  <c r="J10"/>
  <c r="J13"/>
  <c r="J12" s="1"/>
  <c r="J15" l="1"/>
  <c r="Q15"/>
  <c r="L8"/>
  <c r="N8" s="1"/>
  <c r="N9"/>
  <c r="J9"/>
  <c r="J8" s="1"/>
  <c r="Q9"/>
  <c r="Q8" s="1"/>
</calcChain>
</file>

<file path=xl/sharedStrings.xml><?xml version="1.0" encoding="utf-8"?>
<sst xmlns="http://schemas.openxmlformats.org/spreadsheetml/2006/main" count="429" uniqueCount="224">
  <si>
    <t>Информация</t>
  </si>
  <si>
    <t>о финансировании из краевого бюджета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2018 году</t>
  </si>
  <si>
    <t>тыс. рублей</t>
  </si>
  <si>
    <t>Направление финансирования</t>
  </si>
  <si>
    <t>уровень бюджета</t>
  </si>
  <si>
    <t>КБК в 2018 году</t>
  </si>
  <si>
    <t>Закон края от 30.11.2017 № 4-1155</t>
  </si>
  <si>
    <t>ГП от 20.02.2018 № 61-п</t>
  </si>
  <si>
    <t>ГП от 13.03.2018 № 85-п</t>
  </si>
  <si>
    <t>ГП от 01.06.2018 № 317-п</t>
  </si>
  <si>
    <t xml:space="preserve">Проект ГП от № </t>
  </si>
  <si>
    <t xml:space="preserve">Проект Закона края от № </t>
  </si>
  <si>
    <t xml:space="preserve">План от № </t>
  </si>
  <si>
    <t>Начислено с начала года</t>
  </si>
  <si>
    <t>Перечислено получателям</t>
  </si>
  <si>
    <t>Начислено, но не перечислено получателям</t>
  </si>
  <si>
    <t>Остаток  средств бюджета после начисления</t>
  </si>
  <si>
    <t>Потребность в средствах на год</t>
  </si>
  <si>
    <t>Доп потребность (+), невостребованные (-)</t>
  </si>
  <si>
    <t>Комментарии</t>
  </si>
  <si>
    <t>Сумма</t>
  </si>
  <si>
    <t xml:space="preserve">% исполнения </t>
  </si>
  <si>
    <t>Всего финансирование за счет средств краевого бюджета</t>
  </si>
  <si>
    <t>Всего по Государственной программе "Развитие сельского хозяйства и регулирование рынков сельскохозяйственной продукции, сырья и продовольствия"</t>
  </si>
  <si>
    <t>соф</t>
  </si>
  <si>
    <t>краевой бюджет</t>
  </si>
  <si>
    <t>01</t>
  </si>
  <si>
    <t>федеральный бюджет</t>
  </si>
  <si>
    <t>02</t>
  </si>
  <si>
    <t>Прямая поддержка отрасли</t>
  </si>
  <si>
    <t>На поддержку агропромышленного комплекса</t>
  </si>
  <si>
    <t>1 Подпрограмма "Развитие отраслей агропромышленного комплекса"</t>
  </si>
  <si>
    <t>Субсидии на компенсацию части стоимости приобретенных средств химической защиты растений (пестицидов)</t>
  </si>
  <si>
    <t>14 Б 00 21710</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</si>
  <si>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</si>
  <si>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</si>
  <si>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</si>
  <si>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</si>
  <si>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процентов по кредитам, полученным в российских кредитных организациях на срок до 2 лет</t>
  </si>
  <si>
    <t>14 Б 00 21780</t>
  </si>
  <si>
    <r>
      <t>Потребность в субсидии предоставлена субъектами АПК из расчета наличия кредитных договоров "на руках". Субсидии будут освоены</t>
    </r>
    <r>
      <rPr>
        <b/>
        <sz val="12"/>
        <rFont val="Times New Roman"/>
        <family val="1"/>
        <charset val="204"/>
      </rPr>
      <t xml:space="preserve"> в июле</t>
    </r>
  </si>
  <si>
    <t>Расходы на приобретение расходных материалов к лабораторному оборудованию,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научным организациям, расположенным на территории края, образовательным организациям высшего образования, зарегистрированным на территории края</t>
  </si>
  <si>
    <t>14 Б 00 21840</t>
  </si>
  <si>
    <t>Субсидии  государственным и муниципальным предприятиям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овощей открытого грунта</t>
  </si>
  <si>
    <t>14 Б 00 21880</t>
  </si>
  <si>
    <t>Субсидии на возмещение части затрат на уплату процентов по кредитам, полученным до срок до 2 лет, на приобретение российского сырья для первичной и последующей промышленной переработки и сырья для последующей переработки</t>
  </si>
  <si>
    <t>искл</t>
  </si>
  <si>
    <t>14 Б 00 21980</t>
  </si>
  <si>
    <t>Субсидии на  компенсацию части затрат на содержание племенных рогачей маралов</t>
  </si>
  <si>
    <t>14 Б 00 22120</t>
  </si>
  <si>
    <t>Субсидии на компенсацию части затрат на содержание коров молочного направления с использованием электрической энергии, вырабатываемой дизельными электростанциями</t>
  </si>
  <si>
    <t>14 Б 00 22160</t>
  </si>
  <si>
    <t>Субсидии на компенсацию части затрат на приобретение кормов для рыбы</t>
  </si>
  <si>
    <t>14 Б 00 22180</t>
  </si>
  <si>
    <r>
      <t xml:space="preserve">Субсидии на возмещение части затрат на уплату процентов по кредитам (займам), полученным </t>
    </r>
    <r>
      <rPr>
        <b/>
        <sz val="12"/>
        <rFont val="Times New Roman"/>
        <family val="1"/>
        <charset val="204"/>
      </rPr>
      <t xml:space="preserve">на срок до 1 года </t>
    </r>
  </si>
  <si>
    <t>14 Б 00 22190</t>
  </si>
  <si>
    <t>Потребность в субсидии предоставлена субъектами АПК из расчета наличия кредитных договоров "на руках"</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</si>
  <si>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</si>
  <si>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Б 00 22900</t>
  </si>
  <si>
    <t>Гранты на развитие несельскохозяйственных видов деятельности</t>
  </si>
  <si>
    <t>14 Б 00 22920</t>
  </si>
  <si>
    <t>Субсидии на компенсацию части затрат на производство и реализацию молока</t>
  </si>
  <si>
    <t>14 Б 00 24050</t>
  </si>
  <si>
    <t>Субсидии будут освоены в сентябре</t>
  </si>
  <si>
    <t xml:space="preserve">Субсидии на компенсацию части затрат на производство и реализацию мяса кур мясных пород </t>
  </si>
  <si>
    <t>14 Б 00 24060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</si>
  <si>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</si>
  <si>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</si>
  <si>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доп потребность 120 000 тыс. руб. в соответствии со служебной запиской отдела племенных ресурсов на компенсацию затрат при приобретении племенных импортированных нетелей ИП главой КФХ Зубаревой Н.В.</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</si>
  <si>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</si>
  <si>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</si>
  <si>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</si>
  <si>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</si>
  <si>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</si>
  <si>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</si>
  <si>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r>
      <t xml:space="preserve">Субъектами АПК предоставлена потребность в субсидии из расчета наличия кредитных договоров "на руках" на сумму </t>
    </r>
    <r>
      <rPr>
        <b/>
        <sz val="12"/>
        <rFont val="Times New Roman"/>
        <family val="1"/>
        <charset val="204"/>
      </rPr>
      <t xml:space="preserve">194 869,2 тыс. руб. </t>
    </r>
    <r>
      <rPr>
        <sz val="12"/>
        <rFont val="Times New Roman"/>
        <family val="1"/>
        <charset val="204"/>
      </rPr>
      <t xml:space="preserve">Средства будут освоены </t>
    </r>
    <r>
      <rPr>
        <b/>
        <sz val="12"/>
        <rFont val="Times New Roman"/>
        <family val="1"/>
        <charset val="204"/>
      </rPr>
      <t>в августе</t>
    </r>
  </si>
  <si>
    <t>Субсидии на компенсацию части затрат на оплату потребленной тепловой и электрической энергии, используемой при выращивании овощей</t>
  </si>
  <si>
    <t>14 Б 00 24310</t>
  </si>
  <si>
    <t xml:space="preserve">Расходы на закупку услуг по агрохимическому и фитопатологическому обследованию земель сельскохозяйственного назначения </t>
  </si>
  <si>
    <t>14 Б 00 24320</t>
  </si>
  <si>
    <t>Субсидии на компенсацию части затрат на содержание коров и нетелей крупного рогатого скота</t>
  </si>
  <si>
    <t>14 Б 00 24330</t>
  </si>
  <si>
    <t>ИП Глава КФХ Морозов непрофинансировано 183 040 руб</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</si>
  <si>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</si>
  <si>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</si>
  <si>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</si>
  <si>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</si>
  <si>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r>
      <t xml:space="preserve">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t>
    </r>
    <r>
      <rPr>
        <b/>
        <sz val="12"/>
        <rFont val="Times New Roman"/>
        <family val="1"/>
        <charset val="204"/>
      </rPr>
      <t>зерновыми, зернобобовыми и кормовыми</t>
    </r>
    <r>
      <rPr>
        <sz val="12"/>
        <rFont val="Times New Roman"/>
        <family val="1"/>
        <charset val="204"/>
      </rPr>
      <t xml:space="preserve">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семян подсолнечника и овощей открытого грунта </t>
    </r>
  </si>
  <si>
    <t>14 Б 00 R5410</t>
  </si>
  <si>
    <t>Субсидии на возмещение части затрат, направленных на повышение продуктивности в молочном скотоводстве</t>
  </si>
  <si>
    <t>14 Б 00 R5420</t>
  </si>
  <si>
    <t>Субсидии  на компенсацию части стоимости элитных семян сельскохозяйственных растений</t>
  </si>
  <si>
    <t>14 Б 00 R5431</t>
  </si>
  <si>
    <t>Субсидии на компенсацию части затрат на закладку и уход за многолетними насаждениями</t>
  </si>
  <si>
    <t>14 Б 00 R5432</t>
  </si>
  <si>
    <t xml:space="preserve">Субсидии на  компенсацию части затрат на содержание племенного маточного поголовья с/х животных, племенных быков-производителей  </t>
  </si>
  <si>
    <t>14 Б 00 R5435</t>
  </si>
  <si>
    <t xml:space="preserve">Субсидии на возмещение части процентных ставок по кредитам (займам), полученным на развитие малых форм хозяйствования </t>
  </si>
  <si>
    <t>14 Б 00 R543Б</t>
  </si>
  <si>
    <t>Субсидии на возмещение части затрат на уплату страховых премий по договорам с/х страхования в области растениеводства</t>
  </si>
  <si>
    <t>14 Б 00 R543В</t>
  </si>
  <si>
    <t>Субсидии на возмещение части затрат на уплату страховых премий по договорам с/х страхования в области животноводства</t>
  </si>
  <si>
    <t>14 Б 00 R543Г</t>
  </si>
  <si>
    <t>сумма субсидии из расчета заключения договора страхования предприятиями свиноводства по уровню 2017 года (точную сумму возможно определить после заключения договоров в октябре-ноябре)</t>
  </si>
  <si>
    <t xml:space="preserve">Гранты начинающим фермерам </t>
  </si>
  <si>
    <t>14 Б 00 R543Д</t>
  </si>
  <si>
    <t>Гранты на развитие семейных животноводческих ферм</t>
  </si>
  <si>
    <t>14 Б 00 R543Е</t>
  </si>
  <si>
    <t>Гранты сельскохозяйственным потребительским кооперативам на развитие материально-технической базы</t>
  </si>
  <si>
    <t>14 Б 00 R543Ж</t>
  </si>
  <si>
    <t>2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</si>
  <si>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</si>
  <si>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</si>
  <si>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t>
    </r>
    <r>
      <rPr>
        <b/>
        <sz val="12"/>
        <color rgb="FF996633"/>
        <rFont val="Times New Roman"/>
        <family val="1"/>
        <charset val="204"/>
      </rPr>
      <t>(ветслужба)</t>
    </r>
  </si>
  <si>
    <t>14 В 00 24040</t>
  </si>
  <si>
    <r>
      <t>Субвенции бюджетам муниципальных районов и городских округов на выполнение отдельных государственных полномочий по организации проведения мероприятий по отлову и содержанию безнадзорных животных</t>
    </r>
    <r>
      <rPr>
        <b/>
        <sz val="11"/>
        <color rgb="FF996633"/>
        <rFont val="Times New Roman"/>
        <family val="1"/>
        <charset val="204"/>
      </rPr>
      <t xml:space="preserve"> (ветслужба)</t>
    </r>
  </si>
  <si>
    <t>14 В 00 75180</t>
  </si>
  <si>
    <t>3 Подпрограмма "Стимулирование инвестиционной деятельности в агропромышленном комплексе"</t>
  </si>
  <si>
    <t>Субсидии на возмещение затрат на уплату процентов по заключенному с 1 января 2018 года мировому соглашению</t>
  </si>
  <si>
    <t>14 Г 00 22790</t>
  </si>
  <si>
    <t xml:space="preserve">Субсидии на возмещение части затрат на уплату процентов по кредитам, полученным на срок до 10 лет </t>
  </si>
  <si>
    <t>14 Г 00 22820</t>
  </si>
  <si>
    <r>
      <t xml:space="preserve">фактически приняты кредитные договоры. Субсидии будут освоены </t>
    </r>
    <r>
      <rPr>
        <b/>
        <sz val="12"/>
        <rFont val="Times New Roman"/>
        <family val="1"/>
        <charset val="204"/>
      </rPr>
      <t>в августе</t>
    </r>
  </si>
  <si>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</si>
  <si>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</si>
  <si>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по информации предприятий готовность объектов и документов для представления в 2018 году</t>
  </si>
  <si>
    <t>Субсидии на возмещение части прямых понесенных затрат на создание объектов агропромышленного комплекса</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</si>
  <si>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</si>
  <si>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</si>
  <si>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</si>
  <si>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</si>
  <si>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R5261</t>
  </si>
  <si>
    <t>Субсидии на возмещение части затрат на уплату процентов по инвестиционным кредитам (займам), полученным на срок до 10 лет</t>
  </si>
  <si>
    <t>14 Г 00 R5441</t>
  </si>
  <si>
    <r>
      <t>Субсидии на возмещение части затрат на уплату процентов по инвестиционным кредитам (займам), полученным</t>
    </r>
    <r>
      <rPr>
        <b/>
        <sz val="12"/>
        <rFont val="Times New Roman"/>
        <family val="1"/>
        <charset val="204"/>
      </rPr>
      <t xml:space="preserve"> </t>
    </r>
    <r>
      <rPr>
        <sz val="12"/>
        <rFont val="Times New Roman"/>
        <family val="1"/>
        <charset val="204"/>
      </rPr>
      <t>на цели развития подотрасли животноводства на срок до 8 лет, до 15 лет</t>
    </r>
  </si>
  <si>
    <t>14 Г 00 R5442</t>
  </si>
  <si>
    <t>Субсидии на возмещение части затрат на уплату процентов по инвестиционным кредитам (займам), полученным на срок до 8 лет и до 15 лет</t>
  </si>
  <si>
    <t>14 Г 00 R5443</t>
  </si>
  <si>
    <t>Для обеспечения софинансирования выделенных средств ФБ необходимы средства КБ 161 960,3 тыс. руб. Но фактическая потребность ФБ составляет 302 444 тыс. руб. (предложения по увеличению финансирования направлены в МСХ), для софинансирования КБ требуется 232 472,9 тыс. руб.</t>
  </si>
  <si>
    <t xml:space="preserve">Субсидии на возмещение части прямых понесенных затрат на создание и (или) модернизацию животноводческих комплексов молочного направления (молочных ферм) и (или) картофелехранилищ (овощехранилищ), и (или) тепличных комплексов, и (или) селекционно-семеноводческих центров в растениеводстве, и (или) создание оптово-распределительных центров, а также на приобретение техники и (или) оборудования </t>
  </si>
  <si>
    <t>14 Г 00 R5450</t>
  </si>
  <si>
    <t>4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</si>
  <si>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</si>
  <si>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</si>
  <si>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</si>
  <si>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</si>
  <si>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</si>
  <si>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</si>
  <si>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Расходы на приобретение изделий автомобильной промышленности, тракторов и сельскохозяйственных машин, лабораторного оборудования для передачи в федеральную собственность для нужд научных организаций, расположенных на территории края, или образовательных организаций высшего образования, зарегистрированных на территории края</t>
  </si>
  <si>
    <t>14 4 00 22370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</si>
  <si>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</si>
  <si>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</si>
  <si>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r>
      <t xml:space="preserve">фактически документы в министерстве. Субсидии будут освоены </t>
    </r>
    <r>
      <rPr>
        <b/>
        <sz val="12"/>
        <rFont val="Times New Roman"/>
        <family val="1"/>
        <charset val="204"/>
      </rPr>
      <t>в июле</t>
    </r>
  </si>
  <si>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t>
  </si>
  <si>
    <t>14 4 00 22810</t>
  </si>
  <si>
    <t>Субсидии на компенсацию части затрат, связанных с приобретением новых самоходных зерноуборочных и (или) самоходных кормоуборочных комбайнов, и (или) зерновых сушилок</t>
  </si>
  <si>
    <t>14 4 00 24500</t>
  </si>
  <si>
    <t>5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</si>
  <si>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</si>
  <si>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</si>
  <si>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Субсидии на возмещение части фактически осуществленных затрат в рамках гидромелиоративных мероприятий по строительству оросительных (осушительных) систем общего и (или) индивидуального пользования и (или) отдельно расположенных гидротехнических сооружений</t>
  </si>
  <si>
    <t>14 А 00 R5680</t>
  </si>
  <si>
    <t>6 Подпрограмма "Кадровое обеспечение агропромышленного комплекса"</t>
  </si>
  <si>
    <t>Социальная выплата рабочим, служащим сельскохозяйственных товаропроизводителей, вновь созданных сельскохозяйственных товаропроизводителей на компенсацию затрат, связанных с получением высшего образования по очно-заочной, заочной форме обучения</t>
  </si>
  <si>
    <t>14 6 00 22510</t>
  </si>
  <si>
    <t>Оплата услуг по проведению лекций, семинаров,  дополнительного профессионального образования рабочих, служащих сельскохозяйственных товаропроизводителей, вновь созданных сельскохозяйственных товаропроизводителей и организаций агропромышленного комплекса организациям, осуществляющим образовательную деятельность по дополнительным профессиональным программам</t>
  </si>
  <si>
    <t>14 6 00 22520</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</si>
  <si>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</si>
  <si>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</si>
  <si>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</si>
  <si>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</si>
  <si>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</si>
  <si>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</si>
  <si>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практики студента</t>
  </si>
  <si>
    <t>14 6 00 23000</t>
  </si>
  <si>
    <t>Субсидии базовым хозяйствам на компенсацию затрат, связанных  с выплатой заработной платы  студентам, в случае их трудоустройства по срочному трудовому договору в период прохождения производственной практики</t>
  </si>
  <si>
    <t>14 6 00 23010</t>
  </si>
  <si>
    <t>Социальные выплаты на обустройство гражданам, изъявившим желание переехать на постоянное место жительства в сельскую местность и заключившим трудовой договор с сельскохозяйственным товаропроизводителем, вновь созданным сельскохозяйственным товаропроизводителем</t>
  </si>
  <si>
    <t>14 6 00 24640</t>
  </si>
  <si>
    <r>
      <t>Субсидии на цели, не связанные с финансовым обеспечением выполнения государственного задания на оказание государственных услуг (выполнение работ) для приобретения племенных телок и (или) нетелей молочного направления продуктивности, изделий автомобильной промышленности, тракторов и сельскохозяйственных машин, оборудования технологического для легкой и пищевой промышленности, модульных объектов в целях укрепления их материально-технической базы</t>
    </r>
    <r>
      <rPr>
        <sz val="12"/>
        <color rgb="FF008080"/>
        <rFont val="Times New Roman"/>
        <family val="1"/>
        <charset val="204"/>
      </rPr>
      <t xml:space="preserve"> (минобразования края)</t>
    </r>
  </si>
  <si>
    <t>14 6 00 22570</t>
  </si>
  <si>
    <t>7 Подпрограмма "Устойчивое развитие сельских территорий"</t>
  </si>
  <si>
    <t>Субсидии организациям АПК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</si>
  <si>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</si>
  <si>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</si>
  <si>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</si>
  <si>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в сельской местности, в том числе молодых семей и молодых специалистов</t>
  </si>
  <si>
    <t>14 7 00 R5671</t>
  </si>
  <si>
    <t>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t>
  </si>
  <si>
    <t>14 7 00 74110</t>
  </si>
  <si>
    <t>8 Подпрограмма "Поддержка садоводства, огородничества и дачного хозяйства"</t>
  </si>
  <si>
    <t>Гранты некоммерческим объединениям на реализацию программ развития инфраструктуры территорий некоммерческих объединений</t>
  </si>
  <si>
    <t>14 Д 00 24400</t>
  </si>
  <si>
    <t xml:space="preserve">Гранты некоммерческим объединениям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объединения </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</si>
  <si>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</si>
  <si>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объединений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</si>
  <si>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</si>
  <si>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</si>
  <si>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</si>
  <si>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</si>
  <si>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</si>
  <si>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</si>
  <si>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</si>
  <si>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</si>
  <si>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</si>
  <si>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</si>
  <si>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</si>
  <si>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</si>
  <si>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</si>
  <si>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</si>
  <si>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</si>
  <si>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компьютерного программного обеспечения и услуг по его поддержке и адаптации, электронно-вычислительной техники, оргтехники, сетевого и серверного оборудования</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</si>
  <si>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</si>
  <si>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</si>
  <si>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</si>
  <si>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</si>
  <si>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</si>
  <si>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</si>
  <si>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</si>
  <si>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</si>
  <si>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</si>
  <si>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r>
      <t xml:space="preserve">Средства из резервного фонда  Правительства Красноярского края для предупреждения эпизоотий на территории Красноярского края </t>
    </r>
    <r>
      <rPr>
        <sz val="12"/>
        <rFont val="Times New Roman"/>
        <family val="1"/>
        <charset val="204"/>
      </rPr>
      <t>(распоряжение Правительства Красноярского края от 07.12.2017 № 862-р)</t>
    </r>
  </si>
  <si>
    <t>91 Б 00 10110</t>
  </si>
  <si>
    <t>по состоянию на 25.06.2018</t>
  </si>
</sst>
</file>

<file path=xl/styles.xml><?xml version="1.0" encoding="utf-8"?>
<styleSheet xmlns="http://schemas.openxmlformats.org/spreadsheetml/2006/main">
  <numFmts count="5">
    <numFmt numFmtId="164" formatCode="#,##0.0"/>
    <numFmt numFmtId="165" formatCode="#,##0.000000"/>
    <numFmt numFmtId="166" formatCode="?"/>
    <numFmt numFmtId="167" formatCode="#,##0.000"/>
    <numFmt numFmtId="168" formatCode="#,##0.00000"/>
  </numFmts>
  <fonts count="24">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sz val="14"/>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3"/>
      <name val="Times New Roman"/>
      <family val="1"/>
      <charset val="204"/>
    </font>
    <font>
      <sz val="12"/>
      <color indexed="8"/>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s>
  <fills count="11">
    <fill>
      <patternFill patternType="none"/>
    </fill>
    <fill>
      <patternFill patternType="gray125"/>
    </fill>
    <fill>
      <patternFill patternType="solid">
        <fgColor rgb="FF00FFFF"/>
        <bgColor indexed="64"/>
      </patternFill>
    </fill>
    <fill>
      <patternFill patternType="solid">
        <fgColor rgb="FF66FFFF"/>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CCCC00"/>
        <bgColor indexed="64"/>
      </patternFill>
    </fill>
    <fill>
      <patternFill patternType="solid">
        <fgColor rgb="FF92D05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147">
    <xf numFmtId="0" fontId="0" fillId="0" borderId="0" xfId="0"/>
    <xf numFmtId="0" fontId="3" fillId="0" borderId="0" xfId="0" applyFont="1" applyAlignment="1">
      <alignment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3"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5" fontId="3" fillId="0" borderId="0" xfId="0" applyNumberFormat="1" applyFont="1" applyAlignment="1">
      <alignment vertical="top"/>
    </xf>
    <xf numFmtId="0" fontId="3" fillId="0" borderId="0" xfId="0" applyFont="1" applyFill="1" applyAlignment="1">
      <alignment horizontal="right" vertical="top"/>
    </xf>
    <xf numFmtId="0" fontId="5" fillId="0" borderId="0" xfId="0" applyFont="1" applyFill="1" applyAlignment="1">
      <alignment horizontal="right"/>
    </xf>
    <xf numFmtId="0" fontId="3" fillId="0" borderId="0" xfId="0" applyFont="1" applyAlignment="1">
      <alignment horizontal="center" vertical="center"/>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5" fillId="0" borderId="1" xfId="0" applyFont="1" applyFill="1" applyBorder="1" applyAlignment="1">
      <alignment horizontal="center" vertical="top" wrapText="1"/>
    </xf>
    <xf numFmtId="0" fontId="3" fillId="0" borderId="5" xfId="0" applyFont="1" applyBorder="1" applyAlignment="1">
      <alignment horizontal="center"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wrapText="1"/>
    </xf>
    <xf numFmtId="165" fontId="3" fillId="0" borderId="1" xfId="0" applyNumberFormat="1" applyFont="1" applyFill="1" applyBorder="1" applyAlignment="1">
      <alignment horizontal="center" vertical="top" wrapText="1"/>
    </xf>
    <xf numFmtId="0" fontId="3" fillId="0" borderId="1" xfId="0" applyFont="1" applyBorder="1" applyAlignment="1">
      <alignment vertical="top"/>
    </xf>
    <xf numFmtId="0" fontId="6" fillId="2" borderId="1" xfId="0" applyFont="1" applyFill="1" applyBorder="1" applyAlignment="1">
      <alignment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top" wrapText="1"/>
    </xf>
    <xf numFmtId="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wrapText="1"/>
    </xf>
    <xf numFmtId="0" fontId="2" fillId="3" borderId="1" xfId="0" applyFont="1" applyFill="1" applyBorder="1" applyAlignment="1">
      <alignment vertical="top"/>
    </xf>
    <xf numFmtId="0" fontId="7" fillId="4" borderId="1" xfId="0" applyFont="1" applyFill="1" applyBorder="1" applyAlignment="1">
      <alignment horizontal="left" vertical="top" wrapText="1"/>
    </xf>
    <xf numFmtId="0" fontId="7" fillId="4" borderId="1" xfId="0" applyFont="1" applyFill="1" applyBorder="1" applyAlignment="1">
      <alignment horizontal="center" wrapText="1"/>
    </xf>
    <xf numFmtId="4" fontId="8" fillId="4" borderId="1" xfId="0" applyNumberFormat="1" applyFont="1" applyFill="1" applyBorder="1" applyAlignment="1">
      <alignment horizontal="right" wrapText="1"/>
    </xf>
    <xf numFmtId="4" fontId="9" fillId="4" borderId="1" xfId="0" applyNumberFormat="1" applyFont="1" applyFill="1" applyBorder="1" applyAlignment="1">
      <alignment horizontal="right" wrapText="1"/>
    </xf>
    <xf numFmtId="0" fontId="2" fillId="0" borderId="1" xfId="0" applyFont="1" applyFill="1" applyBorder="1" applyAlignment="1">
      <alignment vertical="top"/>
    </xf>
    <xf numFmtId="0" fontId="2" fillId="0" borderId="0" xfId="0" applyFont="1" applyFill="1" applyAlignment="1">
      <alignment vertical="top"/>
    </xf>
    <xf numFmtId="0" fontId="10" fillId="0" borderId="1" xfId="0" applyFont="1" applyFill="1" applyBorder="1" applyAlignment="1">
      <alignment horizontal="left" vertical="top" wrapText="1" indent="2"/>
    </xf>
    <xf numFmtId="49" fontId="11" fillId="0" borderId="1" xfId="0" applyNumberFormat="1" applyFont="1" applyFill="1" applyBorder="1" applyAlignment="1">
      <alignment horizontal="center"/>
    </xf>
    <xf numFmtId="4" fontId="12" fillId="0" borderId="1" xfId="0" applyNumberFormat="1" applyFont="1" applyFill="1" applyBorder="1" applyAlignment="1">
      <alignment horizontal="right" wrapText="1"/>
    </xf>
    <xf numFmtId="4" fontId="10" fillId="0" borderId="1" xfId="0" applyNumberFormat="1" applyFont="1" applyFill="1" applyBorder="1" applyAlignment="1">
      <alignment horizontal="right" wrapText="1"/>
    </xf>
    <xf numFmtId="0" fontId="13" fillId="0" borderId="1" xfId="0" applyFont="1" applyFill="1" applyBorder="1" applyAlignment="1">
      <alignment vertical="top"/>
    </xf>
    <xf numFmtId="0" fontId="13" fillId="0" borderId="0" xfId="0" applyFont="1" applyFill="1" applyAlignment="1">
      <alignment vertical="top"/>
    </xf>
    <xf numFmtId="0" fontId="7" fillId="5" borderId="1" xfId="0" applyFont="1" applyFill="1" applyBorder="1" applyAlignment="1">
      <alignment horizontal="left" vertical="top" wrapText="1"/>
    </xf>
    <xf numFmtId="4" fontId="9" fillId="5" borderId="1" xfId="0" applyNumberFormat="1" applyFont="1" applyFill="1" applyBorder="1" applyAlignment="1">
      <alignment horizontal="right" wrapText="1"/>
    </xf>
    <xf numFmtId="0" fontId="14" fillId="0" borderId="1" xfId="0" applyFont="1" applyFill="1" applyBorder="1" applyAlignment="1">
      <alignment horizontal="left" vertical="top" wrapText="1" indent="2"/>
    </xf>
    <xf numFmtId="0" fontId="7" fillId="5" borderId="1" xfId="0" applyFont="1" applyFill="1" applyBorder="1" applyAlignment="1">
      <alignment horizontal="center" wrapText="1"/>
    </xf>
    <xf numFmtId="4" fontId="8" fillId="5" borderId="1" xfId="0" applyNumberFormat="1" applyFont="1" applyFill="1" applyBorder="1" applyAlignment="1">
      <alignment horizontal="right" wrapText="1"/>
    </xf>
    <xf numFmtId="0" fontId="2" fillId="5" borderId="1" xfId="0" applyFont="1" applyFill="1" applyBorder="1" applyAlignment="1">
      <alignment vertical="top"/>
    </xf>
    <xf numFmtId="0" fontId="2" fillId="5" borderId="0" xfId="0" applyFont="1" applyFill="1" applyAlignment="1">
      <alignment vertical="top"/>
    </xf>
    <xf numFmtId="0" fontId="14" fillId="0" borderId="1" xfId="0" applyFont="1" applyFill="1" applyBorder="1" applyAlignment="1">
      <alignment horizontal="center" wrapText="1"/>
    </xf>
    <xf numFmtId="0" fontId="9" fillId="0" borderId="1" xfId="0" applyFont="1" applyFill="1" applyBorder="1" applyAlignment="1">
      <alignment horizontal="left" vertical="top" wrapText="1"/>
    </xf>
    <xf numFmtId="49" fontId="3" fillId="6" borderId="1" xfId="0" applyNumberFormat="1" applyFont="1" applyFill="1" applyBorder="1" applyAlignment="1">
      <alignment horizontal="center"/>
    </xf>
    <xf numFmtId="4" fontId="9" fillId="0" borderId="1" xfId="0" applyNumberFormat="1" applyFont="1" applyFill="1" applyBorder="1" applyAlignment="1">
      <alignment horizontal="right" wrapText="1"/>
    </xf>
    <xf numFmtId="0" fontId="9" fillId="0" borderId="1" xfId="0" applyFont="1" applyBorder="1" applyAlignment="1">
      <alignment vertical="top"/>
    </xf>
    <xf numFmtId="0" fontId="9" fillId="0" borderId="0" xfId="0" applyFont="1" applyAlignment="1">
      <alignment vertical="top"/>
    </xf>
    <xf numFmtId="49" fontId="15" fillId="0" borderId="1" xfId="0" applyNumberFormat="1" applyFont="1" applyFill="1" applyBorder="1" applyAlignment="1">
      <alignment horizontal="center"/>
    </xf>
    <xf numFmtId="0" fontId="16" fillId="0" borderId="1" xfId="0" applyFont="1" applyBorder="1" applyAlignment="1">
      <alignment vertical="top"/>
    </xf>
    <xf numFmtId="0" fontId="16" fillId="0" borderId="0" xfId="0" applyFont="1" applyAlignment="1">
      <alignment vertical="top"/>
    </xf>
    <xf numFmtId="166" fontId="3" fillId="6" borderId="1" xfId="0" applyNumberFormat="1" applyFont="1" applyFill="1" applyBorder="1" applyAlignment="1" applyProtection="1">
      <alignment horizontal="left" vertical="center" wrapText="1"/>
    </xf>
    <xf numFmtId="49" fontId="3" fillId="3" borderId="1" xfId="0" applyNumberFormat="1" applyFont="1" applyFill="1" applyBorder="1" applyAlignment="1">
      <alignment horizontal="center"/>
    </xf>
    <xf numFmtId="0"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3" fillId="0" borderId="5" xfId="0" applyNumberFormat="1" applyFont="1" applyFill="1" applyBorder="1" applyAlignment="1">
      <alignment horizontal="right" wrapText="1"/>
    </xf>
    <xf numFmtId="164" fontId="3" fillId="7"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164" fontId="3" fillId="0" borderId="1" xfId="0" applyNumberFormat="1" applyFont="1" applyBorder="1" applyAlignment="1"/>
    <xf numFmtId="0"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center"/>
    </xf>
    <xf numFmtId="164" fontId="3" fillId="0" borderId="1" xfId="0" applyNumberFormat="1" applyFont="1" applyFill="1" applyBorder="1" applyAlignment="1"/>
    <xf numFmtId="164" fontId="3" fillId="8" borderId="1" xfId="0" applyNumberFormat="1" applyFont="1" applyFill="1" applyBorder="1" applyAlignment="1"/>
    <xf numFmtId="0" fontId="3" fillId="0" borderId="1" xfId="0" applyNumberFormat="1" applyFont="1" applyFill="1" applyBorder="1" applyAlignment="1">
      <alignment horizontal="left" wrapText="1"/>
    </xf>
    <xf numFmtId="0" fontId="3" fillId="6" borderId="1" xfId="0" applyNumberFormat="1" applyFont="1" applyFill="1" applyBorder="1" applyAlignment="1">
      <alignment horizontal="left" vertical="top" wrapText="1"/>
    </xf>
    <xf numFmtId="167" fontId="3" fillId="0" borderId="1" xfId="0" applyNumberFormat="1" applyFont="1" applyFill="1" applyBorder="1" applyAlignment="1">
      <alignment horizontal="right" wrapText="1"/>
    </xf>
    <xf numFmtId="165" fontId="3" fillId="0" borderId="1" xfId="0" applyNumberFormat="1" applyFont="1" applyFill="1" applyBorder="1" applyAlignment="1">
      <alignment horizontal="right" wrapText="1"/>
    </xf>
    <xf numFmtId="0" fontId="3" fillId="6" borderId="2" xfId="0" applyNumberFormat="1" applyFont="1" applyFill="1" applyBorder="1" applyAlignment="1">
      <alignment horizontal="left" vertical="top" wrapText="1"/>
    </xf>
    <xf numFmtId="49" fontId="3" fillId="6" borderId="2" xfId="0" applyNumberFormat="1" applyFont="1" applyFill="1" applyBorder="1" applyAlignment="1">
      <alignment horizontal="center"/>
    </xf>
    <xf numFmtId="49" fontId="3" fillId="0" borderId="4" xfId="0" applyNumberFormat="1" applyFont="1" applyFill="1" applyBorder="1" applyAlignment="1">
      <alignment horizontal="left" vertical="top" wrapText="1"/>
    </xf>
    <xf numFmtId="49" fontId="3" fillId="0" borderId="4" xfId="0" applyNumberFormat="1" applyFont="1" applyFill="1" applyBorder="1" applyAlignment="1">
      <alignment horizontal="center"/>
    </xf>
    <xf numFmtId="49" fontId="3" fillId="0" borderId="1" xfId="0" applyNumberFormat="1" applyFont="1" applyFill="1" applyBorder="1" applyAlignment="1">
      <alignment horizontal="left" vertical="top" wrapText="1"/>
    </xf>
    <xf numFmtId="0" fontId="3" fillId="0" borderId="1" xfId="0" applyFont="1" applyBorder="1" applyAlignment="1"/>
    <xf numFmtId="49" fontId="3" fillId="6" borderId="1" xfId="0" applyNumberFormat="1" applyFont="1" applyFill="1" applyBorder="1" applyAlignment="1">
      <alignment horizontal="left" vertical="top" wrapText="1"/>
    </xf>
    <xf numFmtId="49" fontId="3" fillId="6" borderId="1" xfId="0" applyNumberFormat="1" applyFont="1" applyFill="1" applyBorder="1" applyAlignment="1">
      <alignment horizontal="left" wrapText="1"/>
    </xf>
    <xf numFmtId="49" fontId="3" fillId="6" borderId="2" xfId="0" applyNumberFormat="1" applyFont="1" applyFill="1" applyBorder="1" applyAlignment="1">
      <alignment horizontal="left" vertical="top" wrapText="1"/>
    </xf>
    <xf numFmtId="0" fontId="3" fillId="0" borderId="2" xfId="0" applyNumberFormat="1" applyFont="1" applyFill="1" applyBorder="1" applyAlignment="1">
      <alignment horizontal="right"/>
    </xf>
    <xf numFmtId="4" fontId="3" fillId="7" borderId="1" xfId="0" applyNumberFormat="1" applyFont="1" applyFill="1" applyBorder="1" applyAlignment="1">
      <alignment horizontal="right"/>
    </xf>
    <xf numFmtId="4" fontId="3" fillId="9" borderId="1" xfId="0" applyNumberFormat="1" applyFont="1" applyFill="1" applyBorder="1" applyAlignment="1">
      <alignment horizontal="right"/>
    </xf>
    <xf numFmtId="0" fontId="3" fillId="6" borderId="2" xfId="0" applyFont="1" applyFill="1" applyBorder="1" applyAlignment="1">
      <alignment horizontal="left" vertical="top" wrapText="1"/>
    </xf>
    <xf numFmtId="0" fontId="9" fillId="0" borderId="1" xfId="0" applyNumberFormat="1" applyFont="1" applyFill="1" applyBorder="1" applyAlignment="1">
      <alignment horizontal="right"/>
    </xf>
    <xf numFmtId="0" fontId="9" fillId="0" borderId="2" xfId="0" applyNumberFormat="1" applyFont="1" applyFill="1" applyBorder="1" applyAlignment="1">
      <alignment horizontal="right"/>
    </xf>
    <xf numFmtId="0" fontId="3" fillId="0" borderId="1" xfId="0" applyFont="1" applyFill="1" applyBorder="1" applyAlignment="1">
      <alignment horizontal="left" vertical="top" wrapText="1"/>
    </xf>
    <xf numFmtId="4" fontId="10" fillId="0" borderId="6" xfId="0" applyNumberFormat="1" applyFont="1" applyFill="1" applyBorder="1" applyAlignment="1">
      <alignment horizontal="right" wrapText="1"/>
    </xf>
    <xf numFmtId="49" fontId="3" fillId="3" borderId="2" xfId="0" applyNumberFormat="1" applyFont="1" applyFill="1" applyBorder="1" applyAlignment="1">
      <alignment horizontal="center"/>
    </xf>
    <xf numFmtId="0" fontId="3" fillId="0" borderId="2" xfId="0" applyFont="1" applyFill="1" applyBorder="1" applyAlignment="1">
      <alignment horizontal="left" vertical="top" wrapText="1"/>
    </xf>
    <xf numFmtId="49" fontId="3" fillId="0" borderId="2" xfId="0" applyNumberFormat="1" applyFont="1" applyFill="1" applyBorder="1" applyAlignment="1">
      <alignment horizontal="center"/>
    </xf>
    <xf numFmtId="0" fontId="3" fillId="0" borderId="7" xfId="0" applyFont="1" applyFill="1" applyBorder="1" applyAlignment="1">
      <alignment horizontal="left" vertical="top" wrapText="1"/>
    </xf>
    <xf numFmtId="49" fontId="19" fillId="0" borderId="7" xfId="0" applyNumberFormat="1" applyFont="1" applyFill="1" applyBorder="1" applyAlignment="1">
      <alignment horizontal="center"/>
    </xf>
    <xf numFmtId="0" fontId="3" fillId="0" borderId="2" xfId="0" applyFont="1" applyFill="1" applyBorder="1" applyAlignment="1">
      <alignment vertical="top" wrapText="1"/>
    </xf>
    <xf numFmtId="4" fontId="3" fillId="0" borderId="2" xfId="0" applyNumberFormat="1" applyFont="1" applyFill="1" applyBorder="1" applyAlignment="1">
      <alignment horizontal="right"/>
    </xf>
    <xf numFmtId="0" fontId="14" fillId="0" borderId="1" xfId="0" applyFont="1" applyFill="1" applyBorder="1" applyAlignment="1">
      <alignment horizontal="left" wrapText="1" indent="2"/>
    </xf>
    <xf numFmtId="4" fontId="3" fillId="9" borderId="5" xfId="0" applyNumberFormat="1" applyFont="1" applyFill="1" applyBorder="1" applyAlignment="1">
      <alignment horizontal="right" wrapText="1"/>
    </xf>
    <xf numFmtId="168" fontId="3" fillId="0" borderId="1" xfId="0" applyNumberFormat="1" applyFont="1" applyFill="1" applyBorder="1" applyAlignment="1">
      <alignment horizontal="right" wrapText="1"/>
    </xf>
    <xf numFmtId="0" fontId="19" fillId="0" borderId="7" xfId="0" applyFont="1" applyFill="1" applyBorder="1" applyAlignment="1">
      <alignment horizontal="left" vertical="top" wrapText="1"/>
    </xf>
    <xf numFmtId="167" fontId="9" fillId="0" borderId="1" xfId="0" applyNumberFormat="1" applyFont="1" applyFill="1" applyBorder="1" applyAlignment="1">
      <alignment horizontal="right" wrapText="1"/>
    </xf>
    <xf numFmtId="167" fontId="10" fillId="0" borderId="1" xfId="0" applyNumberFormat="1" applyFont="1" applyFill="1" applyBorder="1" applyAlignment="1">
      <alignment horizontal="right" wrapText="1"/>
    </xf>
    <xf numFmtId="0" fontId="20" fillId="0" borderId="1" xfId="0" applyFont="1" applyFill="1" applyBorder="1" applyAlignment="1">
      <alignment horizontal="left" vertical="top" wrapText="1"/>
    </xf>
    <xf numFmtId="49" fontId="20" fillId="3" borderId="1" xfId="0" applyNumberFormat="1" applyFont="1" applyFill="1" applyBorder="1" applyAlignment="1">
      <alignment horizontal="center"/>
    </xf>
    <xf numFmtId="0" fontId="20" fillId="0" borderId="1" xfId="0" applyNumberFormat="1" applyFont="1" applyFill="1" applyBorder="1" applyAlignment="1">
      <alignment horizontal="right"/>
    </xf>
    <xf numFmtId="49" fontId="20" fillId="0" borderId="1" xfId="0" applyNumberFormat="1" applyFont="1" applyFill="1" applyBorder="1" applyAlignment="1">
      <alignment horizontal="center"/>
    </xf>
    <xf numFmtId="49" fontId="20" fillId="0" borderId="2" xfId="0" applyNumberFormat="1" applyFont="1" applyFill="1" applyBorder="1" applyAlignment="1">
      <alignment horizontal="center"/>
    </xf>
    <xf numFmtId="49" fontId="3" fillId="0" borderId="2" xfId="0" applyNumberFormat="1" applyFont="1" applyFill="1" applyBorder="1" applyAlignment="1">
      <alignment horizontal="left" vertical="top" wrapText="1"/>
    </xf>
    <xf numFmtId="49" fontId="3" fillId="0" borderId="1" xfId="0" applyNumberFormat="1" applyFont="1" applyFill="1" applyBorder="1" applyAlignment="1">
      <alignment horizontal="left" wrapText="1"/>
    </xf>
    <xf numFmtId="0" fontId="20" fillId="0" borderId="2" xfId="0" applyNumberFormat="1" applyFont="1" applyFill="1" applyBorder="1" applyAlignment="1">
      <alignment horizontal="right"/>
    </xf>
    <xf numFmtId="0" fontId="3" fillId="6" borderId="1" xfId="0" applyNumberFormat="1" applyFont="1" applyFill="1" applyBorder="1" applyAlignment="1">
      <alignment horizontal="right"/>
    </xf>
    <xf numFmtId="0" fontId="3" fillId="10" borderId="1" xfId="0" applyNumberFormat="1" applyFont="1" applyFill="1" applyBorder="1" applyAlignment="1">
      <alignment horizontal="right"/>
    </xf>
    <xf numFmtId="4" fontId="3" fillId="0" borderId="2" xfId="0" applyNumberFormat="1" applyFont="1" applyFill="1" applyBorder="1" applyAlignment="1">
      <alignment horizontal="right" wrapText="1"/>
    </xf>
    <xf numFmtId="0" fontId="3" fillId="0" borderId="1" xfId="0" applyFont="1" applyFill="1" applyBorder="1" applyAlignment="1">
      <alignment vertical="top" wrapText="1"/>
    </xf>
    <xf numFmtId="0" fontId="22" fillId="0" borderId="1" xfId="0" applyFont="1" applyFill="1" applyBorder="1" applyAlignment="1">
      <alignment horizontal="left" vertical="top" wrapText="1"/>
    </xf>
    <xf numFmtId="49" fontId="22" fillId="0" borderId="1" xfId="0" applyNumberFormat="1" applyFont="1" applyFill="1" applyBorder="1" applyAlignment="1">
      <alignment horizontal="center"/>
    </xf>
    <xf numFmtId="0" fontId="23" fillId="0" borderId="1" xfId="0" applyNumberFormat="1" applyFont="1" applyFill="1" applyBorder="1" applyAlignment="1">
      <alignment horizontal="right"/>
    </xf>
    <xf numFmtId="4" fontId="23" fillId="0" borderId="1" xfId="0" applyNumberFormat="1" applyFont="1" applyFill="1" applyBorder="1" applyAlignment="1">
      <alignment horizontal="right" wrapText="1"/>
    </xf>
    <xf numFmtId="4" fontId="3" fillId="0" borderId="1" xfId="0" applyNumberFormat="1" applyFont="1" applyBorder="1" applyAlignment="1"/>
    <xf numFmtId="0" fontId="22" fillId="0" borderId="1" xfId="0" applyFont="1" applyBorder="1" applyAlignment="1">
      <alignment vertical="top"/>
    </xf>
    <xf numFmtId="0" fontId="22" fillId="0" borderId="0" xfId="0" applyFont="1" applyAlignment="1">
      <alignment vertical="top"/>
    </xf>
    <xf numFmtId="0" fontId="3" fillId="0" borderId="1" xfId="0" applyFont="1" applyFill="1" applyBorder="1" applyAlignment="1">
      <alignment vertical="top"/>
    </xf>
    <xf numFmtId="0" fontId="3" fillId="0" borderId="0" xfId="0" applyFont="1" applyFill="1" applyAlignment="1">
      <alignment vertical="top"/>
    </xf>
    <xf numFmtId="0" fontId="22" fillId="0" borderId="1" xfId="0" applyNumberFormat="1" applyFont="1" applyFill="1" applyBorder="1" applyAlignment="1">
      <alignment horizontal="right"/>
    </xf>
    <xf numFmtId="0" fontId="22" fillId="0" borderId="1" xfId="0" applyFont="1" applyFill="1" applyBorder="1" applyAlignment="1">
      <alignment vertical="top"/>
    </xf>
    <xf numFmtId="0" fontId="22" fillId="0" borderId="0" xfId="0" applyFont="1" applyFill="1" applyAlignment="1">
      <alignment vertical="top"/>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xf>
    <xf numFmtId="4" fontId="9" fillId="4" borderId="1" xfId="0" applyNumberFormat="1" applyFont="1" applyFill="1" applyBorder="1" applyAlignment="1">
      <alignment horizontal="center" wrapText="1"/>
    </xf>
    <xf numFmtId="4" fontId="9" fillId="4" borderId="1" xfId="0" applyNumberFormat="1" applyFont="1" applyFill="1" applyBorder="1" applyAlignment="1">
      <alignment horizontal="right"/>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NumberFormat="1" applyFont="1" applyFill="1" applyBorder="1" applyAlignment="1">
      <alignment horizontal="left" vertical="top" wrapText="1"/>
    </xf>
    <xf numFmtId="0" fontId="3" fillId="0" borderId="0" xfId="0" applyFont="1" applyFill="1" applyAlignment="1">
      <alignment horizontal="center"/>
    </xf>
    <xf numFmtId="0" fontId="3" fillId="0" borderId="1" xfId="0" applyFont="1" applyBorder="1" applyAlignment="1">
      <alignment vertical="top"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top" wrapText="1"/>
    </xf>
    <xf numFmtId="14" fontId="2" fillId="0" borderId="0" xfId="0" applyNumberFormat="1" applyFont="1" applyFill="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 xfId="0" applyFont="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del_08/&#1041;&#1102;&#1076;&#1078;&#1077;&#1090;/&#1041;&#1102;&#1076;&#1078;&#1077;&#1090;%202018/&#1041;&#1102;&#1076;&#1078;&#1077;&#1090;%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край"/>
      <sheetName val="Бюдж роспись КБ"/>
      <sheetName val="Роспись фед"/>
      <sheetName val="ГП 2018-2020 "/>
      <sheetName val="КБ+ФБ по соглашению"/>
      <sheetName val="Лист1"/>
    </sheetNames>
    <sheetDataSet>
      <sheetData sheetId="0"/>
      <sheetData sheetId="1">
        <row r="15">
          <cell r="K15">
            <v>198000</v>
          </cell>
        </row>
        <row r="16">
          <cell r="K16">
            <v>4569652.82</v>
          </cell>
        </row>
        <row r="17">
          <cell r="K17">
            <v>213000</v>
          </cell>
        </row>
        <row r="18">
          <cell r="K18">
            <v>67237719.460000008</v>
          </cell>
        </row>
        <row r="19">
          <cell r="K19">
            <v>27864000</v>
          </cell>
        </row>
        <row r="20">
          <cell r="K20">
            <v>11242841.800000001</v>
          </cell>
        </row>
        <row r="21">
          <cell r="K21">
            <v>1677569.97</v>
          </cell>
        </row>
        <row r="22">
          <cell r="K22">
            <v>0</v>
          </cell>
        </row>
        <row r="23">
          <cell r="K23">
            <v>0</v>
          </cell>
        </row>
        <row r="25">
          <cell r="K25">
            <v>1000000</v>
          </cell>
        </row>
        <row r="26">
          <cell r="K26">
            <v>2871000</v>
          </cell>
        </row>
        <row r="27">
          <cell r="K27">
            <v>12310941.460000001</v>
          </cell>
        </row>
        <row r="29">
          <cell r="K29">
            <v>5040798.9300000006</v>
          </cell>
        </row>
        <row r="30">
          <cell r="K30">
            <v>18990258.100000001</v>
          </cell>
        </row>
        <row r="32">
          <cell r="K32">
            <v>6895643.8000000007</v>
          </cell>
        </row>
        <row r="33">
          <cell r="K33">
            <v>367675956.45000005</v>
          </cell>
        </row>
        <row r="34">
          <cell r="K34">
            <v>60371095</v>
          </cell>
        </row>
        <row r="35">
          <cell r="K35">
            <v>0</v>
          </cell>
        </row>
        <row r="36">
          <cell r="K36">
            <v>21172456.93</v>
          </cell>
        </row>
        <row r="37">
          <cell r="K37">
            <v>1385700</v>
          </cell>
        </row>
        <row r="38">
          <cell r="K38">
            <v>7490000</v>
          </cell>
        </row>
        <row r="39">
          <cell r="K39">
            <v>20466581.379999999</v>
          </cell>
        </row>
        <row r="40">
          <cell r="K40">
            <v>4365997.33</v>
          </cell>
        </row>
        <row r="41">
          <cell r="K41">
            <v>0</v>
          </cell>
        </row>
        <row r="42">
          <cell r="K42">
            <v>55744000</v>
          </cell>
        </row>
        <row r="43">
          <cell r="K43">
            <v>266817.77</v>
          </cell>
        </row>
        <row r="44">
          <cell r="K44">
            <v>11157648.609999999</v>
          </cell>
        </row>
        <row r="45">
          <cell r="K45">
            <v>1783155.5899999999</v>
          </cell>
        </row>
        <row r="46">
          <cell r="K46">
            <v>165099388.56999999</v>
          </cell>
        </row>
        <row r="47">
          <cell r="K47">
            <v>961597.92999999993</v>
          </cell>
        </row>
        <row r="48">
          <cell r="K48">
            <v>88889609.179999992</v>
          </cell>
        </row>
        <row r="49">
          <cell r="K49">
            <v>2884793.81</v>
          </cell>
        </row>
        <row r="50">
          <cell r="K50">
            <v>266668827.29999998</v>
          </cell>
        </row>
        <row r="52">
          <cell r="K52">
            <v>531182.14</v>
          </cell>
        </row>
        <row r="53">
          <cell r="K53">
            <v>30324514.780000001</v>
          </cell>
        </row>
        <row r="54">
          <cell r="K54">
            <v>1593546.42</v>
          </cell>
        </row>
        <row r="55">
          <cell r="K55">
            <v>90973544.340000004</v>
          </cell>
        </row>
        <row r="56">
          <cell r="K56">
            <v>0</v>
          </cell>
        </row>
        <row r="57">
          <cell r="K57">
            <v>60288963.68</v>
          </cell>
        </row>
        <row r="58">
          <cell r="K58">
            <v>0</v>
          </cell>
        </row>
        <row r="59">
          <cell r="K59">
            <v>180866877.46000001</v>
          </cell>
        </row>
        <row r="60">
          <cell r="K60">
            <v>0</v>
          </cell>
        </row>
        <row r="61">
          <cell r="K61">
            <v>0</v>
          </cell>
        </row>
        <row r="62">
          <cell r="K62">
            <v>2229739.5100000002</v>
          </cell>
        </row>
        <row r="63">
          <cell r="K63">
            <v>49742074.939999998</v>
          </cell>
        </row>
        <row r="64">
          <cell r="K64">
            <v>6689218.54</v>
          </cell>
        </row>
        <row r="65">
          <cell r="K65">
            <v>149226224.83000001</v>
          </cell>
        </row>
        <row r="67">
          <cell r="K67">
            <v>441060.9</v>
          </cell>
        </row>
        <row r="72">
          <cell r="K72">
            <v>1261250</v>
          </cell>
        </row>
        <row r="73">
          <cell r="K73">
            <v>0</v>
          </cell>
        </row>
        <row r="74">
          <cell r="K74">
            <v>0</v>
          </cell>
        </row>
        <row r="75">
          <cell r="K75">
            <v>0</v>
          </cell>
        </row>
        <row r="76">
          <cell r="K76">
            <v>41481690</v>
          </cell>
        </row>
        <row r="77">
          <cell r="K77">
            <v>5539810.25</v>
          </cell>
        </row>
        <row r="78">
          <cell r="K78">
            <v>16619430.75</v>
          </cell>
        </row>
        <row r="80">
          <cell r="K80">
            <v>17500000</v>
          </cell>
        </row>
        <row r="81">
          <cell r="K81">
            <v>52500000</v>
          </cell>
        </row>
        <row r="84">
          <cell r="K84">
            <v>0</v>
          </cell>
        </row>
        <row r="85">
          <cell r="K85">
            <v>179026.52</v>
          </cell>
        </row>
        <row r="86">
          <cell r="K86">
            <v>31415232.700000003</v>
          </cell>
        </row>
        <row r="87">
          <cell r="K87">
            <v>0</v>
          </cell>
        </row>
        <row r="88">
          <cell r="K88">
            <v>0</v>
          </cell>
        </row>
        <row r="89">
          <cell r="K89">
            <v>265319.40999999997</v>
          </cell>
        </row>
        <row r="90">
          <cell r="K90">
            <v>3159734.15</v>
          </cell>
        </row>
        <row r="91">
          <cell r="K91">
            <v>4043533.33</v>
          </cell>
        </row>
        <row r="92">
          <cell r="K92">
            <v>12130600</v>
          </cell>
        </row>
        <row r="93">
          <cell r="K93">
            <v>0</v>
          </cell>
        </row>
        <row r="94">
          <cell r="K94">
            <v>0</v>
          </cell>
        </row>
        <row r="95">
          <cell r="K95">
            <v>0</v>
          </cell>
        </row>
        <row r="96">
          <cell r="K96">
            <v>581954.24</v>
          </cell>
        </row>
        <row r="97">
          <cell r="K97">
            <v>0</v>
          </cell>
        </row>
        <row r="98">
          <cell r="K98">
            <v>1745863.41</v>
          </cell>
        </row>
        <row r="99">
          <cell r="K99">
            <v>12427127.4</v>
          </cell>
        </row>
        <row r="100">
          <cell r="K100">
            <v>4305006.28</v>
          </cell>
        </row>
        <row r="101">
          <cell r="K101">
            <v>12915018.810000001</v>
          </cell>
        </row>
        <row r="102">
          <cell r="K102">
            <v>66724019.520000003</v>
          </cell>
        </row>
        <row r="103">
          <cell r="K103">
            <v>55906372.140000001</v>
          </cell>
        </row>
        <row r="104">
          <cell r="K104">
            <v>167719117.78</v>
          </cell>
        </row>
        <row r="112">
          <cell r="K112">
            <v>56409554.030000001</v>
          </cell>
        </row>
        <row r="114">
          <cell r="K114">
            <v>709250</v>
          </cell>
        </row>
        <row r="115">
          <cell r="K115">
            <v>9905395.2100000009</v>
          </cell>
        </row>
        <row r="117">
          <cell r="K117">
            <v>225091705.98999998</v>
          </cell>
        </row>
        <row r="118">
          <cell r="K118">
            <v>0</v>
          </cell>
        </row>
        <row r="119">
          <cell r="K119">
            <v>14137319.699999999</v>
          </cell>
        </row>
        <row r="120">
          <cell r="K120">
            <v>35862680.299999997</v>
          </cell>
        </row>
        <row r="123">
          <cell r="K123">
            <v>0</v>
          </cell>
        </row>
        <row r="124">
          <cell r="K124">
            <v>0</v>
          </cell>
        </row>
        <row r="125">
          <cell r="K125">
            <v>0</v>
          </cell>
        </row>
        <row r="126">
          <cell r="K126">
            <v>0</v>
          </cell>
        </row>
        <row r="128">
          <cell r="K128">
            <v>683678.5</v>
          </cell>
        </row>
        <row r="130">
          <cell r="K130">
            <v>29500000</v>
          </cell>
        </row>
        <row r="131">
          <cell r="K131">
            <v>0</v>
          </cell>
        </row>
        <row r="132">
          <cell r="K132">
            <v>0</v>
          </cell>
        </row>
        <row r="133">
          <cell r="K133">
            <v>0</v>
          </cell>
        </row>
        <row r="134">
          <cell r="K134">
            <v>9500000</v>
          </cell>
        </row>
        <row r="135">
          <cell r="K135">
            <v>0</v>
          </cell>
        </row>
        <row r="136">
          <cell r="K136">
            <v>0</v>
          </cell>
        </row>
      </sheetData>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tabColor rgb="FF00B0F0"/>
  </sheetPr>
  <dimension ref="A1:T172"/>
  <sheetViews>
    <sheetView showZeros="0" tabSelected="1" topLeftCell="A3" zoomScale="90" zoomScaleNormal="90" zoomScaleSheetLayoutView="70" workbookViewId="0">
      <pane xSplit="2" ySplit="4" topLeftCell="C7" activePane="bottomRight" state="frozen"/>
      <selection activeCell="A3" sqref="A3"/>
      <selection pane="topRight" activeCell="C3" sqref="C3"/>
      <selection pane="bottomLeft" activeCell="A7" sqref="A7"/>
      <selection pane="bottomRight" activeCell="A157" sqref="A157:XFD160"/>
    </sheetView>
  </sheetViews>
  <sheetFormatPr defaultRowHeight="15.75"/>
  <cols>
    <col min="1" max="1" width="65.85546875" style="121" customWidth="1"/>
    <col min="2" max="2" width="9.140625" style="134" hidden="1" customWidth="1"/>
    <col min="3" max="3" width="15.42578125" style="121" hidden="1" customWidth="1"/>
    <col min="4" max="4" width="16" style="121" hidden="1" customWidth="1"/>
    <col min="5" max="5" width="14.42578125" style="121" hidden="1" customWidth="1"/>
    <col min="6" max="6" width="16.5703125" style="1" hidden="1" customWidth="1"/>
    <col min="7" max="7" width="14.42578125" style="1" customWidth="1"/>
    <col min="8" max="8" width="14.5703125" style="1" hidden="1" customWidth="1"/>
    <col min="9" max="9" width="14.7109375" style="1" hidden="1" customWidth="1"/>
    <col min="10" max="10" width="16.85546875" style="1" hidden="1" customWidth="1"/>
    <col min="11" max="11" width="15.5703125" style="1" hidden="1" customWidth="1"/>
    <col min="12" max="12" width="15.5703125" style="121" hidden="1" customWidth="1"/>
    <col min="13" max="13" width="15.140625" style="121" customWidth="1"/>
    <col min="14" max="14" width="14.28515625" style="121" customWidth="1"/>
    <col min="15" max="15" width="16.5703125" style="6" hidden="1" customWidth="1"/>
    <col min="16" max="16" width="17.28515625" style="7" hidden="1" customWidth="1"/>
    <col min="17" max="17" width="17.28515625" style="121" customWidth="1"/>
    <col min="18" max="18" width="15.140625" style="1" hidden="1" customWidth="1"/>
    <col min="19" max="19" width="18.5703125" style="1" hidden="1" customWidth="1"/>
    <col min="20" max="20" width="55.85546875" style="1" hidden="1" customWidth="1"/>
    <col min="21" max="21" width="10.140625" style="1" customWidth="1"/>
    <col min="22" max="16384" width="9.140625" style="1"/>
  </cols>
  <sheetData>
    <row r="1" spans="1:20">
      <c r="A1" s="141" t="s">
        <v>0</v>
      </c>
      <c r="B1" s="141"/>
      <c r="C1" s="141"/>
      <c r="D1" s="141"/>
      <c r="E1" s="141"/>
      <c r="F1" s="141"/>
      <c r="G1" s="141"/>
      <c r="H1" s="141"/>
      <c r="I1" s="141"/>
      <c r="J1" s="141"/>
      <c r="K1" s="141"/>
      <c r="L1" s="141"/>
      <c r="M1" s="141"/>
      <c r="N1" s="141"/>
      <c r="O1" s="141"/>
      <c r="P1" s="141"/>
      <c r="Q1" s="141"/>
    </row>
    <row r="2" spans="1:20">
      <c r="A2" s="141" t="s">
        <v>1</v>
      </c>
      <c r="B2" s="141"/>
      <c r="C2" s="141"/>
      <c r="D2" s="141"/>
      <c r="E2" s="141"/>
      <c r="F2" s="141"/>
      <c r="G2" s="141"/>
      <c r="H2" s="141"/>
      <c r="I2" s="141"/>
      <c r="J2" s="141"/>
      <c r="K2" s="141"/>
      <c r="L2" s="141"/>
      <c r="M2" s="141"/>
      <c r="N2" s="141"/>
      <c r="O2" s="141"/>
      <c r="P2" s="141"/>
      <c r="Q2" s="141"/>
    </row>
    <row r="3" spans="1:20">
      <c r="A3" s="142" t="s">
        <v>223</v>
      </c>
      <c r="B3" s="142"/>
      <c r="C3" s="142"/>
      <c r="D3" s="142"/>
      <c r="E3" s="142"/>
      <c r="F3" s="142"/>
      <c r="G3" s="142"/>
      <c r="H3" s="142"/>
      <c r="I3" s="142"/>
      <c r="J3" s="142"/>
      <c r="K3" s="142"/>
      <c r="L3" s="142"/>
      <c r="M3" s="142"/>
      <c r="N3" s="142"/>
      <c r="O3" s="142"/>
      <c r="P3" s="142"/>
      <c r="Q3" s="142"/>
    </row>
    <row r="4" spans="1:20">
      <c r="A4" s="2"/>
      <c r="B4" s="3"/>
      <c r="C4" s="2"/>
      <c r="D4" s="2"/>
      <c r="E4" s="4"/>
      <c r="F4" s="5"/>
      <c r="G4" s="5"/>
      <c r="H4" s="5"/>
      <c r="I4" s="5"/>
      <c r="J4" s="5"/>
      <c r="K4" s="5"/>
      <c r="L4" s="5"/>
      <c r="M4" s="5"/>
      <c r="N4" s="5"/>
      <c r="Q4" s="8" t="s">
        <v>2</v>
      </c>
    </row>
    <row r="5" spans="1:20" s="9" customFormat="1" ht="29.25" customHeight="1">
      <c r="A5" s="143" t="s">
        <v>3</v>
      </c>
      <c r="B5" s="143" t="s">
        <v>4</v>
      </c>
      <c r="C5" s="144" t="s">
        <v>5</v>
      </c>
      <c r="D5" s="138" t="s">
        <v>6</v>
      </c>
      <c r="E5" s="136" t="s">
        <v>7</v>
      </c>
      <c r="F5" s="136" t="s">
        <v>8</v>
      </c>
      <c r="G5" s="136" t="s">
        <v>9</v>
      </c>
      <c r="H5" s="136" t="s">
        <v>10</v>
      </c>
      <c r="I5" s="146" t="s">
        <v>11</v>
      </c>
      <c r="J5" s="146" t="s">
        <v>12</v>
      </c>
      <c r="K5" s="136"/>
      <c r="L5" s="138"/>
      <c r="M5" s="139" t="s">
        <v>13</v>
      </c>
      <c r="N5" s="140"/>
      <c r="O5" s="136" t="s">
        <v>14</v>
      </c>
      <c r="P5" s="138" t="s">
        <v>15</v>
      </c>
      <c r="Q5" s="138" t="s">
        <v>16</v>
      </c>
      <c r="R5" s="138" t="s">
        <v>17</v>
      </c>
      <c r="S5" s="138" t="s">
        <v>18</v>
      </c>
      <c r="T5" s="138" t="s">
        <v>19</v>
      </c>
    </row>
    <row r="6" spans="1:20" s="9" customFormat="1" ht="41.25" customHeight="1">
      <c r="A6" s="143"/>
      <c r="B6" s="143"/>
      <c r="C6" s="145"/>
      <c r="D6" s="138"/>
      <c r="E6" s="137"/>
      <c r="F6" s="137"/>
      <c r="G6" s="137"/>
      <c r="H6" s="137"/>
      <c r="I6" s="146"/>
      <c r="J6" s="146"/>
      <c r="K6" s="137"/>
      <c r="L6" s="138"/>
      <c r="M6" s="10" t="s">
        <v>20</v>
      </c>
      <c r="N6" s="11" t="s">
        <v>21</v>
      </c>
      <c r="O6" s="137"/>
      <c r="P6" s="138"/>
      <c r="Q6" s="138"/>
      <c r="R6" s="136"/>
      <c r="S6" s="136"/>
      <c r="T6" s="138"/>
    </row>
    <row r="7" spans="1:20">
      <c r="A7" s="12">
        <v>1</v>
      </c>
      <c r="B7" s="13"/>
      <c r="C7" s="12"/>
      <c r="D7" s="14">
        <v>2</v>
      </c>
      <c r="E7" s="15">
        <v>3</v>
      </c>
      <c r="F7" s="16"/>
      <c r="G7" s="12"/>
      <c r="H7" s="12"/>
      <c r="I7" s="12"/>
      <c r="J7" s="12"/>
      <c r="K7" s="12"/>
      <c r="L7" s="12"/>
      <c r="M7" s="17"/>
      <c r="N7" s="17"/>
      <c r="O7" s="18"/>
      <c r="P7" s="17"/>
      <c r="Q7" s="12"/>
      <c r="R7" s="19"/>
      <c r="S7" s="19"/>
      <c r="T7" s="19"/>
    </row>
    <row r="8" spans="1:20" ht="37.5">
      <c r="A8" s="20" t="s">
        <v>22</v>
      </c>
      <c r="B8" s="21"/>
      <c r="C8" s="22"/>
      <c r="D8" s="23">
        <f>D9+D153</f>
        <v>6322021.4651600001</v>
      </c>
      <c r="E8" s="23">
        <f t="shared" ref="E8:Q8" si="0">E9+E153</f>
        <v>6997340.1651600003</v>
      </c>
      <c r="F8" s="24">
        <f t="shared" si="0"/>
        <v>7049098.4651600001</v>
      </c>
      <c r="G8" s="23">
        <f t="shared" si="0"/>
        <v>7049098.4651599992</v>
      </c>
      <c r="H8" s="23">
        <f t="shared" si="0"/>
        <v>7049098.4651599992</v>
      </c>
      <c r="I8" s="23">
        <f t="shared" si="0"/>
        <v>7049098.4651599992</v>
      </c>
      <c r="J8" s="23">
        <f t="shared" si="0"/>
        <v>7049098.4651599992</v>
      </c>
      <c r="K8" s="23">
        <f t="shared" si="0"/>
        <v>7049098.4651599992</v>
      </c>
      <c r="L8" s="23">
        <f t="shared" si="0"/>
        <v>7049098.4651599992</v>
      </c>
      <c r="M8" s="24">
        <f t="shared" si="0"/>
        <v>3604753.2105899998</v>
      </c>
      <c r="N8" s="24">
        <f>M8/L8*100</f>
        <v>51.13779057572264</v>
      </c>
      <c r="O8" s="24">
        <f t="shared" si="0"/>
        <v>3214802.4186300002</v>
      </c>
      <c r="P8" s="24">
        <f t="shared" si="0"/>
        <v>370960.53386000008</v>
      </c>
      <c r="Q8" s="24">
        <f t="shared" si="0"/>
        <v>3444345.2545700008</v>
      </c>
      <c r="R8" s="25"/>
      <c r="S8" s="25"/>
      <c r="T8" s="19"/>
    </row>
    <row r="9" spans="1:20" s="31" customFormat="1" ht="47.25">
      <c r="A9" s="26" t="s">
        <v>23</v>
      </c>
      <c r="B9" s="27" t="s">
        <v>24</v>
      </c>
      <c r="C9" s="28">
        <f>C18+C70+C75+C96+C105+C112+C123+C137+C132</f>
        <v>0</v>
      </c>
      <c r="D9" s="29">
        <f>D10+D11</f>
        <v>6306754.9000000004</v>
      </c>
      <c r="E9" s="29">
        <f t="shared" ref="E9:S9" si="1">E10+E11</f>
        <v>6982073.6000000006</v>
      </c>
      <c r="F9" s="29">
        <f t="shared" si="1"/>
        <v>7033831.9000000004</v>
      </c>
      <c r="G9" s="29">
        <f t="shared" si="1"/>
        <v>7033831.8999999994</v>
      </c>
      <c r="H9" s="29">
        <f t="shared" si="1"/>
        <v>7033831.8999999994</v>
      </c>
      <c r="I9" s="29">
        <f t="shared" si="1"/>
        <v>7033831.8999999994</v>
      </c>
      <c r="J9" s="29">
        <f t="shared" si="1"/>
        <v>7033831.8999999994</v>
      </c>
      <c r="K9" s="29">
        <f t="shared" si="1"/>
        <v>7033831.8999999994</v>
      </c>
      <c r="L9" s="29">
        <f t="shared" si="1"/>
        <v>7033831.8999999994</v>
      </c>
      <c r="M9" s="29">
        <f t="shared" si="1"/>
        <v>3597790.4819899998</v>
      </c>
      <c r="N9" s="29">
        <f t="shared" ref="N9:N81" si="2">M9/L9*100</f>
        <v>51.149793357870834</v>
      </c>
      <c r="O9" s="29">
        <f t="shared" si="1"/>
        <v>3207972.8647400001</v>
      </c>
      <c r="P9" s="29">
        <f t="shared" si="1"/>
        <v>370827.35915000009</v>
      </c>
      <c r="Q9" s="29">
        <f t="shared" si="1"/>
        <v>3436041.4180100006</v>
      </c>
      <c r="R9" s="29">
        <f t="shared" si="1"/>
        <v>7636178.7349899998</v>
      </c>
      <c r="S9" s="29">
        <f t="shared" si="1"/>
        <v>520310.93498999986</v>
      </c>
      <c r="T9" s="30"/>
    </row>
    <row r="10" spans="1:20" s="37" customFormat="1">
      <c r="A10" s="32" t="s">
        <v>25</v>
      </c>
      <c r="B10" s="33" t="s">
        <v>26</v>
      </c>
      <c r="C10" s="34"/>
      <c r="D10" s="35">
        <f t="shared" ref="D10:M10" si="3">D19+D71+D76+D97+D106+D113+D124+D138+D133</f>
        <v>5696103.9000000004</v>
      </c>
      <c r="E10" s="35">
        <f t="shared" si="3"/>
        <v>5696103.9000000004</v>
      </c>
      <c r="F10" s="35">
        <f t="shared" si="3"/>
        <v>5747862.2000000002</v>
      </c>
      <c r="G10" s="35">
        <f t="shared" si="3"/>
        <v>5747862.1999999993</v>
      </c>
      <c r="H10" s="35">
        <f t="shared" si="3"/>
        <v>5747862.1999999993</v>
      </c>
      <c r="I10" s="35">
        <f t="shared" si="3"/>
        <v>5747862.1999999993</v>
      </c>
      <c r="J10" s="35">
        <f t="shared" si="3"/>
        <v>5747862.1999999993</v>
      </c>
      <c r="K10" s="35">
        <f t="shared" si="3"/>
        <v>5747862.1999999993</v>
      </c>
      <c r="L10" s="35">
        <f t="shared" si="3"/>
        <v>5747862.1999999993</v>
      </c>
      <c r="M10" s="35">
        <f t="shared" si="3"/>
        <v>2609288.7185399998</v>
      </c>
      <c r="N10" s="35">
        <f t="shared" si="2"/>
        <v>45.395812003635022</v>
      </c>
      <c r="O10" s="35">
        <f>O19+O71+O76+O97+O106+O113+O124+O138+O133</f>
        <v>2435828.2191900001</v>
      </c>
      <c r="P10" s="35">
        <f>P19+P71+P76+P97+P106+P113+P124+P138+P133</f>
        <v>154470.24125000014</v>
      </c>
      <c r="Q10" s="35">
        <f>Q19+Q71+Q76+Q97+Q106+Q113+Q124+Q138+Q133</f>
        <v>3138573.4814600004</v>
      </c>
      <c r="R10" s="35">
        <f t="shared" ref="R10:S10" si="4">R19+R71+R76+R97+R106+R113+R124+R138+R133</f>
        <v>6395928.93499</v>
      </c>
      <c r="S10" s="35">
        <f t="shared" si="4"/>
        <v>566030.83498999989</v>
      </c>
      <c r="T10" s="36"/>
    </row>
    <row r="11" spans="1:20" s="37" customFormat="1">
      <c r="A11" s="32" t="s">
        <v>27</v>
      </c>
      <c r="B11" s="33" t="s">
        <v>28</v>
      </c>
      <c r="C11" s="34"/>
      <c r="D11" s="35">
        <f t="shared" ref="D11:M11" si="5">D20+D77+D107+D125</f>
        <v>610651</v>
      </c>
      <c r="E11" s="35">
        <f t="shared" si="5"/>
        <v>1285969.7</v>
      </c>
      <c r="F11" s="35">
        <f t="shared" si="5"/>
        <v>1285969.7</v>
      </c>
      <c r="G11" s="35">
        <f t="shared" si="5"/>
        <v>1285969.7</v>
      </c>
      <c r="H11" s="35">
        <f t="shared" si="5"/>
        <v>1285969.7</v>
      </c>
      <c r="I11" s="35">
        <f t="shared" si="5"/>
        <v>1285969.7</v>
      </c>
      <c r="J11" s="35">
        <f t="shared" si="5"/>
        <v>1285969.7</v>
      </c>
      <c r="K11" s="35">
        <f t="shared" si="5"/>
        <v>1285969.7</v>
      </c>
      <c r="L11" s="35">
        <f t="shared" si="5"/>
        <v>1285969.7</v>
      </c>
      <c r="M11" s="35">
        <f t="shared" si="5"/>
        <v>988501.76344999985</v>
      </c>
      <c r="N11" s="35">
        <f t="shared" si="2"/>
        <v>76.868200195541149</v>
      </c>
      <c r="O11" s="35">
        <f>O20+O77+O107+O125</f>
        <v>772144.64555000002</v>
      </c>
      <c r="P11" s="35">
        <f>P20+P77+P107+P125</f>
        <v>216357.11789999995</v>
      </c>
      <c r="Q11" s="35">
        <f>Q20+Q77+Q107+Q125</f>
        <v>297467.93655000004</v>
      </c>
      <c r="R11" s="35">
        <f t="shared" ref="R11:S11" si="6">R20+R77+R107+R125</f>
        <v>1240249.7999999998</v>
      </c>
      <c r="S11" s="35">
        <f t="shared" si="6"/>
        <v>-45719.9</v>
      </c>
      <c r="T11" s="36"/>
    </row>
    <row r="12" spans="1:20" s="37" customFormat="1">
      <c r="A12" s="38" t="s">
        <v>29</v>
      </c>
      <c r="B12" s="33"/>
      <c r="C12" s="34"/>
      <c r="D12" s="39">
        <f>D13+D14</f>
        <v>4841766.3</v>
      </c>
      <c r="E12" s="39">
        <f t="shared" ref="E12:S12" si="7">E13+E14</f>
        <v>5517085</v>
      </c>
      <c r="F12" s="39">
        <f t="shared" si="7"/>
        <v>5568843.2999999998</v>
      </c>
      <c r="G12" s="39">
        <f t="shared" si="7"/>
        <v>5563415.7999999998</v>
      </c>
      <c r="H12" s="39">
        <f t="shared" si="7"/>
        <v>5563415.7999999998</v>
      </c>
      <c r="I12" s="39">
        <f t="shared" si="7"/>
        <v>5563415.7999999998</v>
      </c>
      <c r="J12" s="39">
        <f t="shared" si="7"/>
        <v>5563415.7999999998</v>
      </c>
      <c r="K12" s="39">
        <f t="shared" si="7"/>
        <v>5563415.7999999998</v>
      </c>
      <c r="L12" s="39">
        <f t="shared" si="7"/>
        <v>5563415.7999999998</v>
      </c>
      <c r="M12" s="39">
        <f t="shared" si="7"/>
        <v>2953700.3511600001</v>
      </c>
      <c r="N12" s="39">
        <f t="shared" si="2"/>
        <v>53.091490144597863</v>
      </c>
      <c r="O12" s="39">
        <f t="shared" si="7"/>
        <v>2580192.6518899999</v>
      </c>
      <c r="P12" s="39">
        <f t="shared" si="7"/>
        <v>354517.44117000006</v>
      </c>
      <c r="Q12" s="39">
        <f t="shared" si="7"/>
        <v>2609715.4488400007</v>
      </c>
      <c r="R12" s="39">
        <f t="shared" si="7"/>
        <v>6171804.3349900004</v>
      </c>
      <c r="S12" s="39">
        <f t="shared" si="7"/>
        <v>520925.13498999982</v>
      </c>
      <c r="T12" s="36"/>
    </row>
    <row r="13" spans="1:20" s="37" customFormat="1">
      <c r="A13" s="40" t="s">
        <v>25</v>
      </c>
      <c r="B13" s="33"/>
      <c r="C13" s="34"/>
      <c r="D13" s="35">
        <f>D19+D71-D74+D76+D97+D106+D113+D124+D133</f>
        <v>4231115.3</v>
      </c>
      <c r="E13" s="35">
        <f t="shared" ref="E13:S13" si="8">E19+E71-E74+E76+E97+E106+E113+E124+E133</f>
        <v>4231115.3</v>
      </c>
      <c r="F13" s="35">
        <f t="shared" si="8"/>
        <v>4282873.5999999996</v>
      </c>
      <c r="G13" s="35">
        <f t="shared" si="8"/>
        <v>4277446.0999999996</v>
      </c>
      <c r="H13" s="35">
        <f t="shared" si="8"/>
        <v>4277446.0999999996</v>
      </c>
      <c r="I13" s="35">
        <f t="shared" si="8"/>
        <v>4277446.0999999996</v>
      </c>
      <c r="J13" s="35">
        <f t="shared" si="8"/>
        <v>4277446.0999999996</v>
      </c>
      <c r="K13" s="35">
        <f t="shared" si="8"/>
        <v>4277446.0999999996</v>
      </c>
      <c r="L13" s="35">
        <f t="shared" si="8"/>
        <v>4277446.0999999996</v>
      </c>
      <c r="M13" s="35">
        <f t="shared" si="8"/>
        <v>1965198.5877100001</v>
      </c>
      <c r="N13" s="35">
        <f t="shared" si="2"/>
        <v>45.943269459549711</v>
      </c>
      <c r="O13" s="35">
        <f t="shared" si="8"/>
        <v>1808048.0063399998</v>
      </c>
      <c r="P13" s="35">
        <f t="shared" si="8"/>
        <v>138160.32327000011</v>
      </c>
      <c r="Q13" s="35">
        <f t="shared" si="8"/>
        <v>2312247.5122900004</v>
      </c>
      <c r="R13" s="35">
        <f t="shared" si="8"/>
        <v>4931554.5349900005</v>
      </c>
      <c r="S13" s="35">
        <f t="shared" si="8"/>
        <v>566645.03498999984</v>
      </c>
      <c r="T13" s="36"/>
    </row>
    <row r="14" spans="1:20" s="37" customFormat="1">
      <c r="A14" s="40" t="s">
        <v>27</v>
      </c>
      <c r="B14" s="33"/>
      <c r="C14" s="34"/>
      <c r="D14" s="35">
        <f>D20+D77+D107+D125</f>
        <v>610651</v>
      </c>
      <c r="E14" s="35">
        <f t="shared" ref="E14:S14" si="9">E20+E77+E107+E125</f>
        <v>1285969.7</v>
      </c>
      <c r="F14" s="35">
        <f t="shared" si="9"/>
        <v>1285969.7</v>
      </c>
      <c r="G14" s="35">
        <f t="shared" si="9"/>
        <v>1285969.7</v>
      </c>
      <c r="H14" s="35">
        <f t="shared" si="9"/>
        <v>1285969.7</v>
      </c>
      <c r="I14" s="35">
        <f t="shared" si="9"/>
        <v>1285969.7</v>
      </c>
      <c r="J14" s="35">
        <f t="shared" si="9"/>
        <v>1285969.7</v>
      </c>
      <c r="K14" s="35">
        <f t="shared" si="9"/>
        <v>1285969.7</v>
      </c>
      <c r="L14" s="35">
        <f t="shared" si="9"/>
        <v>1285969.7</v>
      </c>
      <c r="M14" s="35">
        <f t="shared" si="9"/>
        <v>988501.76344999985</v>
      </c>
      <c r="N14" s="35">
        <f t="shared" si="2"/>
        <v>76.868200195541149</v>
      </c>
      <c r="O14" s="35">
        <f t="shared" si="9"/>
        <v>772144.64555000002</v>
      </c>
      <c r="P14" s="35">
        <f t="shared" si="9"/>
        <v>216357.11789999995</v>
      </c>
      <c r="Q14" s="35">
        <f t="shared" si="9"/>
        <v>297467.93655000004</v>
      </c>
      <c r="R14" s="35">
        <f t="shared" si="9"/>
        <v>1240249.7999999998</v>
      </c>
      <c r="S14" s="35">
        <f t="shared" si="9"/>
        <v>-45719.9</v>
      </c>
      <c r="T14" s="36"/>
    </row>
    <row r="15" spans="1:20" s="44" customFormat="1" ht="20.25" hidden="1" customHeight="1">
      <c r="A15" s="38" t="s">
        <v>30</v>
      </c>
      <c r="B15" s="41"/>
      <c r="C15" s="42"/>
      <c r="D15" s="39">
        <f>D16+D17</f>
        <v>3697479.8</v>
      </c>
      <c r="E15" s="39">
        <f t="shared" ref="E15:S15" si="10">E16+E17</f>
        <v>4372798.5</v>
      </c>
      <c r="F15" s="39">
        <f t="shared" si="10"/>
        <v>4424556.8</v>
      </c>
      <c r="G15" s="39">
        <f t="shared" si="10"/>
        <v>4506592.6999999993</v>
      </c>
      <c r="H15" s="39">
        <f t="shared" si="10"/>
        <v>4506592.6999999993</v>
      </c>
      <c r="I15" s="39">
        <f t="shared" si="10"/>
        <v>4506592.6999999993</v>
      </c>
      <c r="J15" s="39">
        <f t="shared" si="10"/>
        <v>4506592.6999999993</v>
      </c>
      <c r="K15" s="39">
        <f t="shared" si="10"/>
        <v>4506592.6999999993</v>
      </c>
      <c r="L15" s="39">
        <f t="shared" si="10"/>
        <v>4506592.6999999993</v>
      </c>
      <c r="M15" s="39">
        <f t="shared" si="10"/>
        <v>2659938.0116499998</v>
      </c>
      <c r="N15" s="39">
        <f t="shared" si="2"/>
        <v>59.023261890296865</v>
      </c>
      <c r="O15" s="39">
        <f t="shared" si="10"/>
        <v>2291873.4123100005</v>
      </c>
      <c r="P15" s="39">
        <f t="shared" si="10"/>
        <v>349074.34124000004</v>
      </c>
      <c r="Q15" s="39">
        <f t="shared" si="10"/>
        <v>1846654.6883500004</v>
      </c>
      <c r="R15" s="39">
        <f t="shared" si="10"/>
        <v>5027517.8349900004</v>
      </c>
      <c r="S15" s="39">
        <f t="shared" si="10"/>
        <v>520925.13498999982</v>
      </c>
      <c r="T15" s="43"/>
    </row>
    <row r="16" spans="1:20" s="37" customFormat="1" ht="21.75" hidden="1" customHeight="1">
      <c r="A16" s="40" t="s">
        <v>25</v>
      </c>
      <c r="B16" s="45"/>
      <c r="C16" s="34"/>
      <c r="D16" s="35">
        <f t="shared" ref="D16:M16" si="11">D19+D76+D97+D106</f>
        <v>3112797.5</v>
      </c>
      <c r="E16" s="35">
        <f t="shared" si="11"/>
        <v>3112797.5</v>
      </c>
      <c r="F16" s="35">
        <f t="shared" si="11"/>
        <v>3164555.8</v>
      </c>
      <c r="G16" s="35">
        <f t="shared" si="11"/>
        <v>3246591.6999999997</v>
      </c>
      <c r="H16" s="35">
        <f t="shared" si="11"/>
        <v>3246591.6999999997</v>
      </c>
      <c r="I16" s="35">
        <f t="shared" si="11"/>
        <v>3246591.6999999997</v>
      </c>
      <c r="J16" s="35">
        <f t="shared" si="11"/>
        <v>3246591.6999999997</v>
      </c>
      <c r="K16" s="35">
        <f t="shared" si="11"/>
        <v>3246591.6999999997</v>
      </c>
      <c r="L16" s="35">
        <f t="shared" si="11"/>
        <v>3246591.6999999997</v>
      </c>
      <c r="M16" s="35">
        <f t="shared" si="11"/>
        <v>1697404.9482</v>
      </c>
      <c r="N16" s="35">
        <f t="shared" si="2"/>
        <v>52.282673802190772</v>
      </c>
      <c r="O16" s="35">
        <f>O19+O76+O97+O106</f>
        <v>1545697.4667600002</v>
      </c>
      <c r="P16" s="35">
        <f>P19+P76+P97+P106</f>
        <v>132717.22334000008</v>
      </c>
      <c r="Q16" s="35">
        <f>Q19+Q76+Q97+Q106</f>
        <v>1549186.7518000004</v>
      </c>
      <c r="R16" s="35">
        <f t="shared" ref="R16:S16" si="12">R19+R76+R97+R106</f>
        <v>3813236.7349900007</v>
      </c>
      <c r="S16" s="35">
        <f t="shared" si="12"/>
        <v>566645.03498999984</v>
      </c>
      <c r="T16" s="36"/>
    </row>
    <row r="17" spans="1:20" s="37" customFormat="1" ht="18" hidden="1" customHeight="1">
      <c r="A17" s="40" t="s">
        <v>27</v>
      </c>
      <c r="B17" s="45"/>
      <c r="C17" s="34"/>
      <c r="D17" s="35">
        <f t="shared" ref="D17:M17" si="13">D20+D77+D107</f>
        <v>584682.30000000005</v>
      </c>
      <c r="E17" s="35">
        <f t="shared" si="13"/>
        <v>1260001</v>
      </c>
      <c r="F17" s="35">
        <f t="shared" si="13"/>
        <v>1260001</v>
      </c>
      <c r="G17" s="35">
        <f t="shared" si="13"/>
        <v>1260001</v>
      </c>
      <c r="H17" s="35">
        <f t="shared" si="13"/>
        <v>1260001</v>
      </c>
      <c r="I17" s="35">
        <f t="shared" si="13"/>
        <v>1260001</v>
      </c>
      <c r="J17" s="35">
        <f t="shared" si="13"/>
        <v>1260001</v>
      </c>
      <c r="K17" s="35">
        <f t="shared" si="13"/>
        <v>1260001</v>
      </c>
      <c r="L17" s="35">
        <f t="shared" si="13"/>
        <v>1260001</v>
      </c>
      <c r="M17" s="35">
        <f t="shared" si="13"/>
        <v>962533.0634499999</v>
      </c>
      <c r="N17" s="35">
        <f t="shared" si="2"/>
        <v>76.391452344085437</v>
      </c>
      <c r="O17" s="35">
        <f>O20+O77+O107</f>
        <v>746175.94555000006</v>
      </c>
      <c r="P17" s="35">
        <f>P20+P77+P107</f>
        <v>216357.11789999995</v>
      </c>
      <c r="Q17" s="35">
        <f>Q20+Q77+Q107</f>
        <v>297467.93655000004</v>
      </c>
      <c r="R17" s="35">
        <f t="shared" ref="R17:S17" si="14">R20+R77+R107</f>
        <v>1214281.0999999999</v>
      </c>
      <c r="S17" s="35">
        <f t="shared" si="14"/>
        <v>-45719.9</v>
      </c>
      <c r="T17" s="36"/>
    </row>
    <row r="18" spans="1:20" s="50" customFormat="1" ht="19.5" customHeight="1">
      <c r="A18" s="46" t="s">
        <v>31</v>
      </c>
      <c r="B18" s="47" t="s">
        <v>24</v>
      </c>
      <c r="C18" s="48">
        <f>SUM(C21:C67)</f>
        <v>0</v>
      </c>
      <c r="D18" s="48">
        <f>D19+D20</f>
        <v>2336499.7000000002</v>
      </c>
      <c r="E18" s="48">
        <f t="shared" ref="E18:S18" si="15">E19+E20</f>
        <v>2774075.4</v>
      </c>
      <c r="F18" s="48">
        <f t="shared" si="15"/>
        <v>3094066.3999999994</v>
      </c>
      <c r="G18" s="48">
        <f t="shared" si="15"/>
        <v>3160623.3999999994</v>
      </c>
      <c r="H18" s="48">
        <f t="shared" si="15"/>
        <v>3160623.3999999994</v>
      </c>
      <c r="I18" s="48">
        <f t="shared" si="15"/>
        <v>3160623.3999999994</v>
      </c>
      <c r="J18" s="48">
        <f t="shared" si="15"/>
        <v>3160623.3999999994</v>
      </c>
      <c r="K18" s="48">
        <f t="shared" si="15"/>
        <v>3160623.3999999994</v>
      </c>
      <c r="L18" s="48">
        <f t="shared" si="15"/>
        <v>3160623.3999999994</v>
      </c>
      <c r="M18" s="48">
        <f t="shared" si="15"/>
        <v>1944304.1807299999</v>
      </c>
      <c r="N18" s="48">
        <f t="shared" si="2"/>
        <v>61.516477437014494</v>
      </c>
      <c r="O18" s="48">
        <f t="shared" si="15"/>
        <v>1613514.2583099999</v>
      </c>
      <c r="P18" s="48">
        <f t="shared" si="15"/>
        <v>311799.66432000004</v>
      </c>
      <c r="Q18" s="48">
        <f t="shared" si="15"/>
        <v>1216319.2192700002</v>
      </c>
      <c r="R18" s="48">
        <f t="shared" si="15"/>
        <v>3551812.3400000003</v>
      </c>
      <c r="S18" s="48">
        <f t="shared" si="15"/>
        <v>391188.93999999989</v>
      </c>
      <c r="T18" s="49"/>
    </row>
    <row r="19" spans="1:20" s="53" customFormat="1">
      <c r="A19" s="40" t="s">
        <v>25</v>
      </c>
      <c r="B19" s="51" t="s">
        <v>26</v>
      </c>
      <c r="C19" s="35"/>
      <c r="D19" s="35">
        <f t="shared" ref="D19:L19" si="16">SUMIF($B$21:$B$69,"=01",D21:D69)</f>
        <v>1785649.7</v>
      </c>
      <c r="E19" s="35">
        <f t="shared" si="16"/>
        <v>1785649.7</v>
      </c>
      <c r="F19" s="35">
        <f t="shared" si="16"/>
        <v>2105640.6999999997</v>
      </c>
      <c r="G19" s="35">
        <f t="shared" si="16"/>
        <v>2172197.6999999997</v>
      </c>
      <c r="H19" s="35">
        <f t="shared" si="16"/>
        <v>2172197.6999999997</v>
      </c>
      <c r="I19" s="35">
        <f t="shared" si="16"/>
        <v>2172197.6999999997</v>
      </c>
      <c r="J19" s="35">
        <f t="shared" si="16"/>
        <v>2172197.6999999997</v>
      </c>
      <c r="K19" s="35">
        <f t="shared" si="16"/>
        <v>2172197.6999999997</v>
      </c>
      <c r="L19" s="35">
        <f t="shared" si="16"/>
        <v>2172197.6999999997</v>
      </c>
      <c r="M19" s="35">
        <f>SUMIF($B$21:$B$69,"=01",M21:M69)</f>
        <v>1176281.71728</v>
      </c>
      <c r="N19" s="35">
        <f t="shared" si="2"/>
        <v>54.151687817365804</v>
      </c>
      <c r="O19" s="35">
        <f>SUMIF($B$21:$B$69,"=01",O21:O69)</f>
        <v>1045488.81622</v>
      </c>
      <c r="P19" s="35">
        <f>SUMIF($B$21:$B$69,"=01",P21:P69)</f>
        <v>111802.64296000008</v>
      </c>
      <c r="Q19" s="35">
        <f>SUMIF($B$21:$B$69,"=01",Q21:Q69)</f>
        <v>995915.9827200002</v>
      </c>
      <c r="R19" s="35">
        <f t="shared" ref="R19:S19" si="17">SUMIF($B$21:$B$69,"=01",R21:R69)</f>
        <v>2609106.5400000005</v>
      </c>
      <c r="S19" s="35">
        <f t="shared" si="17"/>
        <v>436908.83999999991</v>
      </c>
      <c r="T19" s="52"/>
    </row>
    <row r="20" spans="1:20" s="53" customFormat="1">
      <c r="A20" s="40" t="s">
        <v>27</v>
      </c>
      <c r="B20" s="51" t="s">
        <v>28</v>
      </c>
      <c r="C20" s="35"/>
      <c r="D20" s="35">
        <f t="shared" ref="D20:M20" si="18">SUMIF($B$21:$B$69,"=02",D21:D69)</f>
        <v>550850</v>
      </c>
      <c r="E20" s="35">
        <f t="shared" si="18"/>
        <v>988425.7</v>
      </c>
      <c r="F20" s="35">
        <f t="shared" si="18"/>
        <v>988425.7</v>
      </c>
      <c r="G20" s="35">
        <f t="shared" si="18"/>
        <v>988425.7</v>
      </c>
      <c r="H20" s="35">
        <f t="shared" si="18"/>
        <v>988425.7</v>
      </c>
      <c r="I20" s="35">
        <f t="shared" si="18"/>
        <v>988425.7</v>
      </c>
      <c r="J20" s="35">
        <f t="shared" si="18"/>
        <v>988425.7</v>
      </c>
      <c r="K20" s="35">
        <f t="shared" si="18"/>
        <v>988425.7</v>
      </c>
      <c r="L20" s="35">
        <f t="shared" si="18"/>
        <v>988425.7</v>
      </c>
      <c r="M20" s="35">
        <f t="shared" si="18"/>
        <v>768022.46344999992</v>
      </c>
      <c r="N20" s="35">
        <f t="shared" si="2"/>
        <v>77.701587833056138</v>
      </c>
      <c r="O20" s="35">
        <f>SUMIF($B$21:$B$69,"=02",O21:O69)</f>
        <v>568025.44209000003</v>
      </c>
      <c r="P20" s="35">
        <f>SUMIF($B$21:$B$69,"=02",P21:P69)</f>
        <v>199997.02135999996</v>
      </c>
      <c r="Q20" s="35">
        <f>SUMIF($B$21:$B$69,"=02",Q21:Q69)</f>
        <v>220403.23655000003</v>
      </c>
      <c r="R20" s="35">
        <f t="shared" ref="R20:S20" si="19">SUMIF($B$21:$B$69,"=02",R21:R69)</f>
        <v>942705.79999999993</v>
      </c>
      <c r="S20" s="35">
        <f t="shared" si="19"/>
        <v>-45719.9</v>
      </c>
      <c r="T20" s="52"/>
    </row>
    <row r="21" spans="1:20" ht="31.5">
      <c r="A21" s="54" t="s">
        <v>32</v>
      </c>
      <c r="B21" s="55" t="s">
        <v>26</v>
      </c>
      <c r="C21" s="56" t="s">
        <v>33</v>
      </c>
      <c r="D21" s="57"/>
      <c r="E21" s="58"/>
      <c r="F21" s="59">
        <v>72650.5</v>
      </c>
      <c r="G21" s="60">
        <f t="shared" ref="G21:J23" si="20">F21</f>
        <v>72650.5</v>
      </c>
      <c r="H21" s="60">
        <f t="shared" si="20"/>
        <v>72650.5</v>
      </c>
      <c r="I21" s="60">
        <f t="shared" si="20"/>
        <v>72650.5</v>
      </c>
      <c r="J21" s="60">
        <f t="shared" si="20"/>
        <v>72650.5</v>
      </c>
      <c r="K21" s="60">
        <f t="shared" ref="K21:K23" si="21">G21</f>
        <v>72650.5</v>
      </c>
      <c r="L21" s="60">
        <f t="shared" ref="L21:L23" si="22">K21</f>
        <v>72650.5</v>
      </c>
      <c r="M21" s="61">
        <f>('[1]Бюдж роспись КБ'!K15+'[1]Бюдж роспись КБ'!K16)/1000</f>
        <v>4767.6528200000002</v>
      </c>
      <c r="N21" s="61">
        <f t="shared" si="2"/>
        <v>6.5624501139014875</v>
      </c>
      <c r="O21" s="61">
        <v>4710.0528199999999</v>
      </c>
      <c r="P21" s="61">
        <f t="shared" ref="P21:P45" si="23">M21-O21</f>
        <v>57.600000000000364</v>
      </c>
      <c r="Q21" s="61">
        <f t="shared" ref="Q21:Q69" si="24">L21-M21</f>
        <v>67882.847179999997</v>
      </c>
      <c r="R21" s="62">
        <f t="shared" ref="R21:R26" si="25">F21</f>
        <v>72650.5</v>
      </c>
      <c r="S21" s="62">
        <f>R21-F21</f>
        <v>0</v>
      </c>
      <c r="T21" s="19"/>
    </row>
    <row r="22" spans="1:20" ht="47.25">
      <c r="A22" s="54" t="s">
        <v>34</v>
      </c>
      <c r="B22" s="55" t="s">
        <v>26</v>
      </c>
      <c r="C22" s="56" t="s">
        <v>35</v>
      </c>
      <c r="D22" s="57"/>
      <c r="E22" s="58"/>
      <c r="F22" s="59">
        <v>147590.6</v>
      </c>
      <c r="G22" s="60">
        <f t="shared" si="20"/>
        <v>147590.6</v>
      </c>
      <c r="H22" s="60">
        <f t="shared" si="20"/>
        <v>147590.6</v>
      </c>
      <c r="I22" s="60">
        <f t="shared" si="20"/>
        <v>147590.6</v>
      </c>
      <c r="J22" s="60">
        <f t="shared" si="20"/>
        <v>147590.6</v>
      </c>
      <c r="K22" s="60">
        <f t="shared" si="21"/>
        <v>147590.6</v>
      </c>
      <c r="L22" s="60">
        <f t="shared" si="22"/>
        <v>147590.6</v>
      </c>
      <c r="M22" s="61">
        <f>('[1]Бюдж роспись КБ'!K17+'[1]Бюдж роспись КБ'!K18+'[1]Бюдж роспись КБ'!K19)/1000</f>
        <v>95314.719460000008</v>
      </c>
      <c r="N22" s="61">
        <f t="shared" si="2"/>
        <v>64.58048104689594</v>
      </c>
      <c r="O22" s="61">
        <f>213+54600.96148+25698</f>
        <v>80511.961479999998</v>
      </c>
      <c r="P22" s="61">
        <f t="shared" si="23"/>
        <v>14802.757980000009</v>
      </c>
      <c r="Q22" s="61">
        <f t="shared" si="24"/>
        <v>52275.880539999998</v>
      </c>
      <c r="R22" s="62">
        <f t="shared" si="25"/>
        <v>147590.6</v>
      </c>
      <c r="S22" s="62">
        <f t="shared" ref="S22:S26" si="26">R22-F22</f>
        <v>0</v>
      </c>
      <c r="T22" s="19"/>
    </row>
    <row r="23" spans="1:20" ht="47.25">
      <c r="A23" s="54" t="s">
        <v>36</v>
      </c>
      <c r="B23" s="55" t="s">
        <v>26</v>
      </c>
      <c r="C23" s="56" t="s">
        <v>37</v>
      </c>
      <c r="D23" s="57"/>
      <c r="E23" s="58"/>
      <c r="F23" s="59">
        <v>50000</v>
      </c>
      <c r="G23" s="60">
        <f>F23+66557</f>
        <v>116557</v>
      </c>
      <c r="H23" s="60">
        <f t="shared" si="20"/>
        <v>116557</v>
      </c>
      <c r="I23" s="60">
        <f t="shared" si="20"/>
        <v>116557</v>
      </c>
      <c r="J23" s="60">
        <f t="shared" si="20"/>
        <v>116557</v>
      </c>
      <c r="K23" s="60">
        <f t="shared" si="21"/>
        <v>116557</v>
      </c>
      <c r="L23" s="60">
        <f t="shared" si="22"/>
        <v>116557</v>
      </c>
      <c r="M23" s="61">
        <f>'[1]Бюдж роспись КБ'!K20/1000</f>
        <v>11242.8418</v>
      </c>
      <c r="N23" s="61">
        <f t="shared" si="2"/>
        <v>9.6457885841262225</v>
      </c>
      <c r="O23" s="61"/>
      <c r="P23" s="61">
        <f t="shared" si="23"/>
        <v>11242.8418</v>
      </c>
      <c r="Q23" s="61">
        <f t="shared" si="24"/>
        <v>105314.15820000001</v>
      </c>
      <c r="R23" s="62">
        <f>G23</f>
        <v>116557</v>
      </c>
      <c r="S23" s="62"/>
      <c r="T23" s="19"/>
    </row>
    <row r="24" spans="1:20" ht="47.25">
      <c r="A24" s="63" t="s">
        <v>38</v>
      </c>
      <c r="B24" s="64" t="s">
        <v>26</v>
      </c>
      <c r="C24" s="56" t="s">
        <v>39</v>
      </c>
      <c r="D24" s="57">
        <v>9666.7000000000007</v>
      </c>
      <c r="E24" s="58">
        <f t="shared" ref="E24:J39" si="27">D24</f>
        <v>9666.7000000000007</v>
      </c>
      <c r="F24" s="59">
        <f>E24+6008.3</f>
        <v>15675</v>
      </c>
      <c r="G24" s="60">
        <f t="shared" si="27"/>
        <v>15675</v>
      </c>
      <c r="H24" s="60">
        <f t="shared" si="27"/>
        <v>15675</v>
      </c>
      <c r="I24" s="60">
        <f>H24</f>
        <v>15675</v>
      </c>
      <c r="J24" s="60">
        <f>I24</f>
        <v>15675</v>
      </c>
      <c r="K24" s="60">
        <f>G24</f>
        <v>15675</v>
      </c>
      <c r="L24" s="60">
        <f>K24</f>
        <v>15675</v>
      </c>
      <c r="M24" s="61">
        <f>'[1]Бюдж роспись КБ'!K21/1000</f>
        <v>1677.56997</v>
      </c>
      <c r="N24" s="61">
        <f t="shared" si="2"/>
        <v>10.70220076555024</v>
      </c>
      <c r="O24" s="61">
        <v>1677.56997</v>
      </c>
      <c r="P24" s="61">
        <f t="shared" si="23"/>
        <v>0</v>
      </c>
      <c r="Q24" s="61">
        <f t="shared" si="24"/>
        <v>13997.43003</v>
      </c>
      <c r="R24" s="65">
        <v>96259</v>
      </c>
      <c r="S24" s="66">
        <f t="shared" si="26"/>
        <v>80584</v>
      </c>
      <c r="T24" s="67" t="s">
        <v>40</v>
      </c>
    </row>
    <row r="25" spans="1:20" ht="126">
      <c r="A25" s="54" t="s">
        <v>41</v>
      </c>
      <c r="B25" s="64" t="s">
        <v>26</v>
      </c>
      <c r="C25" s="56" t="s">
        <v>42</v>
      </c>
      <c r="D25" s="57">
        <v>3131.7</v>
      </c>
      <c r="E25" s="58">
        <f t="shared" si="27"/>
        <v>3131.7</v>
      </c>
      <c r="F25" s="60">
        <f t="shared" si="27"/>
        <v>3131.7</v>
      </c>
      <c r="G25" s="60">
        <f t="shared" si="27"/>
        <v>3131.7</v>
      </c>
      <c r="H25" s="60">
        <f t="shared" si="27"/>
        <v>3131.7</v>
      </c>
      <c r="I25" s="60">
        <f t="shared" si="27"/>
        <v>3131.7</v>
      </c>
      <c r="J25" s="60">
        <f t="shared" si="27"/>
        <v>3131.7</v>
      </c>
      <c r="K25" s="60">
        <f t="shared" ref="K25:K69" si="28">G25</f>
        <v>3131.7</v>
      </c>
      <c r="L25" s="60">
        <f t="shared" ref="L25:L115" si="29">K25</f>
        <v>3131.7</v>
      </c>
      <c r="M25" s="61">
        <f>'[1]Бюдж роспись КБ'!K22/1000</f>
        <v>0</v>
      </c>
      <c r="N25" s="61">
        <f t="shared" si="2"/>
        <v>0</v>
      </c>
      <c r="O25" s="61"/>
      <c r="P25" s="61">
        <f t="shared" si="23"/>
        <v>0</v>
      </c>
      <c r="Q25" s="61">
        <f t="shared" si="24"/>
        <v>3131.7</v>
      </c>
      <c r="R25" s="62">
        <f t="shared" si="25"/>
        <v>3131.7</v>
      </c>
      <c r="S25" s="62">
        <f t="shared" si="26"/>
        <v>0</v>
      </c>
      <c r="T25" s="19"/>
    </row>
    <row r="26" spans="1:20" ht="157.5">
      <c r="A26" s="68" t="s">
        <v>43</v>
      </c>
      <c r="B26" s="64" t="s">
        <v>26</v>
      </c>
      <c r="C26" s="56" t="s">
        <v>44</v>
      </c>
      <c r="D26" s="57">
        <v>1973.7</v>
      </c>
      <c r="E26" s="58">
        <f t="shared" si="27"/>
        <v>1973.7</v>
      </c>
      <c r="F26" s="60">
        <f t="shared" si="27"/>
        <v>1973.7</v>
      </c>
      <c r="G26" s="60">
        <f t="shared" si="27"/>
        <v>1973.7</v>
      </c>
      <c r="H26" s="60">
        <f t="shared" si="27"/>
        <v>1973.7</v>
      </c>
      <c r="I26" s="60">
        <f t="shared" si="27"/>
        <v>1973.7</v>
      </c>
      <c r="J26" s="60">
        <f t="shared" si="27"/>
        <v>1973.7</v>
      </c>
      <c r="K26" s="60">
        <f t="shared" si="28"/>
        <v>1973.7</v>
      </c>
      <c r="L26" s="60">
        <f t="shared" si="29"/>
        <v>1973.7</v>
      </c>
      <c r="M26" s="61">
        <f>'[1]Бюдж роспись КБ'!K23/1000</f>
        <v>0</v>
      </c>
      <c r="N26" s="61">
        <f t="shared" si="2"/>
        <v>0</v>
      </c>
      <c r="O26" s="61"/>
      <c r="P26" s="61">
        <f t="shared" si="23"/>
        <v>0</v>
      </c>
      <c r="Q26" s="61">
        <f t="shared" si="24"/>
        <v>1973.7</v>
      </c>
      <c r="R26" s="62">
        <f t="shared" si="25"/>
        <v>1973.7</v>
      </c>
      <c r="S26" s="62">
        <f t="shared" si="26"/>
        <v>0</v>
      </c>
      <c r="T26" s="19"/>
    </row>
    <row r="27" spans="1:20" ht="78.75" hidden="1">
      <c r="A27" s="68" t="s">
        <v>45</v>
      </c>
      <c r="B27" s="47" t="s">
        <v>46</v>
      </c>
      <c r="C27" s="61" t="s">
        <v>47</v>
      </c>
      <c r="D27" s="57">
        <v>6008.3</v>
      </c>
      <c r="E27" s="58">
        <f t="shared" si="27"/>
        <v>6008.3</v>
      </c>
      <c r="F27" s="59">
        <f>E27-6008.3</f>
        <v>0</v>
      </c>
      <c r="G27" s="60">
        <f t="shared" si="27"/>
        <v>0</v>
      </c>
      <c r="H27" s="60">
        <f t="shared" si="27"/>
        <v>0</v>
      </c>
      <c r="I27" s="60">
        <f t="shared" si="27"/>
        <v>0</v>
      </c>
      <c r="J27" s="60">
        <f t="shared" si="27"/>
        <v>0</v>
      </c>
      <c r="K27" s="60">
        <f t="shared" si="28"/>
        <v>0</v>
      </c>
      <c r="L27" s="60">
        <f t="shared" si="29"/>
        <v>0</v>
      </c>
      <c r="M27" s="61"/>
      <c r="N27" s="61"/>
      <c r="O27" s="69"/>
      <c r="P27" s="70">
        <f t="shared" si="23"/>
        <v>0</v>
      </c>
      <c r="Q27" s="61">
        <f t="shared" si="24"/>
        <v>0</v>
      </c>
      <c r="R27" s="19"/>
      <c r="S27" s="19"/>
      <c r="T27" s="19"/>
    </row>
    <row r="28" spans="1:20" ht="31.5">
      <c r="A28" s="68" t="s">
        <v>48</v>
      </c>
      <c r="B28" s="55" t="s">
        <v>26</v>
      </c>
      <c r="C28" s="56" t="s">
        <v>49</v>
      </c>
      <c r="D28" s="57"/>
      <c r="E28" s="58"/>
      <c r="F28" s="59">
        <v>1000</v>
      </c>
      <c r="G28" s="60">
        <f t="shared" si="27"/>
        <v>1000</v>
      </c>
      <c r="H28" s="60">
        <f t="shared" si="27"/>
        <v>1000</v>
      </c>
      <c r="I28" s="60">
        <f t="shared" si="27"/>
        <v>1000</v>
      </c>
      <c r="J28" s="60">
        <f t="shared" si="27"/>
        <v>1000</v>
      </c>
      <c r="K28" s="60">
        <f t="shared" si="28"/>
        <v>1000</v>
      </c>
      <c r="L28" s="60">
        <f t="shared" si="29"/>
        <v>1000</v>
      </c>
      <c r="M28" s="61">
        <f>'[1]Бюдж роспись КБ'!K25/1000</f>
        <v>1000</v>
      </c>
      <c r="N28" s="61">
        <f t="shared" si="2"/>
        <v>100</v>
      </c>
      <c r="O28" s="61">
        <v>1000</v>
      </c>
      <c r="P28" s="61">
        <f t="shared" si="23"/>
        <v>0</v>
      </c>
      <c r="Q28" s="61">
        <f t="shared" si="24"/>
        <v>0</v>
      </c>
      <c r="R28" s="62">
        <f t="shared" ref="R28:R91" si="30">F28</f>
        <v>1000</v>
      </c>
      <c r="S28" s="62">
        <f t="shared" ref="S28:S91" si="31">R28-F28</f>
        <v>0</v>
      </c>
      <c r="T28" s="19"/>
    </row>
    <row r="29" spans="1:20" ht="47.25">
      <c r="A29" s="68" t="s">
        <v>50</v>
      </c>
      <c r="B29" s="64" t="s">
        <v>26</v>
      </c>
      <c r="C29" s="56" t="s">
        <v>51</v>
      </c>
      <c r="D29" s="57">
        <v>2871</v>
      </c>
      <c r="E29" s="58">
        <f t="shared" ref="E29:F29" si="32">D29</f>
        <v>2871</v>
      </c>
      <c r="F29" s="60">
        <f t="shared" si="32"/>
        <v>2871</v>
      </c>
      <c r="G29" s="60">
        <f t="shared" si="27"/>
        <v>2871</v>
      </c>
      <c r="H29" s="60">
        <f t="shared" si="27"/>
        <v>2871</v>
      </c>
      <c r="I29" s="60">
        <f t="shared" si="27"/>
        <v>2871</v>
      </c>
      <c r="J29" s="60">
        <f t="shared" si="27"/>
        <v>2871</v>
      </c>
      <c r="K29" s="60">
        <f t="shared" si="28"/>
        <v>2871</v>
      </c>
      <c r="L29" s="60">
        <f t="shared" si="29"/>
        <v>2871</v>
      </c>
      <c r="M29" s="61">
        <f>'[1]Бюдж роспись КБ'!K26/1000</f>
        <v>2871</v>
      </c>
      <c r="N29" s="61">
        <f t="shared" si="2"/>
        <v>100</v>
      </c>
      <c r="O29" s="61">
        <v>2871</v>
      </c>
      <c r="P29" s="70">
        <f t="shared" si="23"/>
        <v>0</v>
      </c>
      <c r="Q29" s="61">
        <f t="shared" si="24"/>
        <v>0</v>
      </c>
      <c r="R29" s="62">
        <f t="shared" si="30"/>
        <v>2871</v>
      </c>
      <c r="S29" s="62">
        <f t="shared" si="31"/>
        <v>0</v>
      </c>
      <c r="T29" s="19"/>
    </row>
    <row r="30" spans="1:20" ht="31.5">
      <c r="A30" s="68" t="s">
        <v>52</v>
      </c>
      <c r="B30" s="55" t="s">
        <v>26</v>
      </c>
      <c r="C30" s="56" t="s">
        <v>53</v>
      </c>
      <c r="D30" s="57"/>
      <c r="E30" s="58"/>
      <c r="F30" s="59">
        <v>40000</v>
      </c>
      <c r="G30" s="60">
        <f t="shared" si="27"/>
        <v>40000</v>
      </c>
      <c r="H30" s="60">
        <f t="shared" si="27"/>
        <v>40000</v>
      </c>
      <c r="I30" s="60">
        <f t="shared" si="27"/>
        <v>40000</v>
      </c>
      <c r="J30" s="60">
        <f t="shared" si="27"/>
        <v>40000</v>
      </c>
      <c r="K30" s="60">
        <f t="shared" si="28"/>
        <v>40000</v>
      </c>
      <c r="L30" s="60">
        <f t="shared" si="29"/>
        <v>40000</v>
      </c>
      <c r="M30" s="61">
        <f>'[1]Бюдж роспись КБ'!K27/1000</f>
        <v>12310.94146</v>
      </c>
      <c r="N30" s="61">
        <f t="shared" si="2"/>
        <v>30.777353649999998</v>
      </c>
      <c r="O30" s="61">
        <v>11421.99538</v>
      </c>
      <c r="P30" s="61">
        <f t="shared" si="23"/>
        <v>888.94607999999971</v>
      </c>
      <c r="Q30" s="61">
        <f t="shared" si="24"/>
        <v>27689.058539999998</v>
      </c>
      <c r="R30" s="62">
        <f t="shared" si="30"/>
        <v>40000</v>
      </c>
      <c r="S30" s="62">
        <f t="shared" si="31"/>
        <v>0</v>
      </c>
      <c r="T30" s="19"/>
    </row>
    <row r="31" spans="1:20" ht="47.25">
      <c r="A31" s="71" t="s">
        <v>54</v>
      </c>
      <c r="B31" s="72" t="s">
        <v>26</v>
      </c>
      <c r="C31" s="56" t="s">
        <v>55</v>
      </c>
      <c r="D31" s="57">
        <v>42181.2</v>
      </c>
      <c r="E31" s="58">
        <f t="shared" ref="E31:J46" si="33">D31</f>
        <v>42181.2</v>
      </c>
      <c r="F31" s="60">
        <f t="shared" si="33"/>
        <v>42181.2</v>
      </c>
      <c r="G31" s="60">
        <f t="shared" si="33"/>
        <v>42181.2</v>
      </c>
      <c r="H31" s="60">
        <f t="shared" si="33"/>
        <v>42181.2</v>
      </c>
      <c r="I31" s="60">
        <f>H31</f>
        <v>42181.2</v>
      </c>
      <c r="J31" s="60">
        <f>I31</f>
        <v>42181.2</v>
      </c>
      <c r="K31" s="60">
        <f>G31</f>
        <v>42181.2</v>
      </c>
      <c r="L31" s="60">
        <f>K31</f>
        <v>42181.2</v>
      </c>
      <c r="M31" s="61">
        <f>'[1]Бюдж роспись КБ'!K29/1000</f>
        <v>5040.7989300000008</v>
      </c>
      <c r="N31" s="61">
        <f>M31/L31*100</f>
        <v>11.950345011521723</v>
      </c>
      <c r="O31" s="61">
        <v>5040.7989299999999</v>
      </c>
      <c r="P31" s="61">
        <f t="shared" si="23"/>
        <v>0</v>
      </c>
      <c r="Q31" s="61">
        <f t="shared" si="24"/>
        <v>37140.401069999993</v>
      </c>
      <c r="R31" s="65">
        <v>33919.199999999997</v>
      </c>
      <c r="S31" s="62">
        <f t="shared" si="31"/>
        <v>-8262</v>
      </c>
      <c r="T31" s="67" t="s">
        <v>56</v>
      </c>
    </row>
    <row r="32" spans="1:20" ht="47.25">
      <c r="A32" s="63" t="s">
        <v>57</v>
      </c>
      <c r="B32" s="64" t="s">
        <v>26</v>
      </c>
      <c r="C32" s="56" t="s">
        <v>58</v>
      </c>
      <c r="D32" s="57">
        <v>68542</v>
      </c>
      <c r="E32" s="58">
        <f t="shared" si="33"/>
        <v>68542</v>
      </c>
      <c r="F32" s="60">
        <f t="shared" si="33"/>
        <v>68542</v>
      </c>
      <c r="G32" s="60">
        <f t="shared" si="33"/>
        <v>68542</v>
      </c>
      <c r="H32" s="60">
        <f t="shared" si="33"/>
        <v>68542</v>
      </c>
      <c r="I32" s="60">
        <f t="shared" si="33"/>
        <v>68542</v>
      </c>
      <c r="J32" s="60">
        <f t="shared" si="33"/>
        <v>68542</v>
      </c>
      <c r="K32" s="60">
        <f>G32</f>
        <v>68542</v>
      </c>
      <c r="L32" s="60">
        <f>K32</f>
        <v>68542</v>
      </c>
      <c r="M32" s="61">
        <f>'[1]Бюдж роспись КБ'!K30/1000</f>
        <v>18990.258100000003</v>
      </c>
      <c r="N32" s="61">
        <f t="shared" si="2"/>
        <v>27.706016894750668</v>
      </c>
      <c r="O32" s="61"/>
      <c r="P32" s="70"/>
      <c r="Q32" s="61">
        <f t="shared" si="24"/>
        <v>49551.741899999994</v>
      </c>
      <c r="R32" s="62">
        <f t="shared" si="30"/>
        <v>68542</v>
      </c>
      <c r="S32" s="62">
        <f t="shared" si="31"/>
        <v>0</v>
      </c>
      <c r="T32" s="19"/>
    </row>
    <row r="33" spans="1:20" ht="31.5" hidden="1">
      <c r="A33" s="73" t="s">
        <v>59</v>
      </c>
      <c r="B33" s="74" t="s">
        <v>46</v>
      </c>
      <c r="C33" s="56" t="s">
        <v>60</v>
      </c>
      <c r="D33" s="57">
        <v>6000</v>
      </c>
      <c r="E33" s="58">
        <f t="shared" si="33"/>
        <v>6000</v>
      </c>
      <c r="F33" s="59">
        <f>E33-6000</f>
        <v>0</v>
      </c>
      <c r="G33" s="60">
        <f t="shared" si="33"/>
        <v>0</v>
      </c>
      <c r="H33" s="60">
        <f t="shared" si="33"/>
        <v>0</v>
      </c>
      <c r="I33" s="60">
        <f t="shared" si="33"/>
        <v>0</v>
      </c>
      <c r="J33" s="60">
        <f t="shared" si="33"/>
        <v>0</v>
      </c>
      <c r="K33" s="60">
        <f>G33</f>
        <v>0</v>
      </c>
      <c r="L33" s="60">
        <f>K33</f>
        <v>0</v>
      </c>
      <c r="M33" s="61"/>
      <c r="N33" s="61"/>
      <c r="O33" s="61"/>
      <c r="P33" s="61">
        <f t="shared" si="23"/>
        <v>0</v>
      </c>
      <c r="Q33" s="61">
        <f t="shared" si="24"/>
        <v>0</v>
      </c>
      <c r="R33" s="62">
        <f t="shared" si="30"/>
        <v>0</v>
      </c>
      <c r="S33" s="62">
        <f t="shared" si="31"/>
        <v>0</v>
      </c>
    </row>
    <row r="34" spans="1:20" ht="31.5">
      <c r="A34" s="75" t="s">
        <v>61</v>
      </c>
      <c r="B34" s="64" t="s">
        <v>26</v>
      </c>
      <c r="C34" s="56" t="s">
        <v>62</v>
      </c>
      <c r="D34" s="57">
        <v>8190</v>
      </c>
      <c r="E34" s="58">
        <f t="shared" si="33"/>
        <v>8190</v>
      </c>
      <c r="F34" s="59">
        <f>E34+562376.8</f>
        <v>570566.80000000005</v>
      </c>
      <c r="G34" s="60">
        <f t="shared" si="33"/>
        <v>570566.80000000005</v>
      </c>
      <c r="H34" s="60">
        <f t="shared" si="33"/>
        <v>570566.80000000005</v>
      </c>
      <c r="I34" s="60">
        <f t="shared" si="27"/>
        <v>570566.80000000005</v>
      </c>
      <c r="J34" s="60">
        <f t="shared" si="27"/>
        <v>570566.80000000005</v>
      </c>
      <c r="K34" s="60">
        <f t="shared" si="28"/>
        <v>570566.80000000005</v>
      </c>
      <c r="L34" s="60">
        <f t="shared" si="29"/>
        <v>570566.80000000005</v>
      </c>
      <c r="M34" s="61">
        <f>('[1]Бюдж роспись КБ'!K32+'[1]Бюдж роспись КБ'!K33)/1000</f>
        <v>374571.60025000008</v>
      </c>
      <c r="N34" s="61">
        <f t="shared" si="2"/>
        <v>65.649035353967321</v>
      </c>
      <c r="O34" s="61">
        <v>370445.79444999999</v>
      </c>
      <c r="P34" s="61">
        <f t="shared" si="23"/>
        <v>4125.8058000000892</v>
      </c>
      <c r="Q34" s="61">
        <f t="shared" si="24"/>
        <v>195995.19974999997</v>
      </c>
      <c r="R34" s="65">
        <f>F34+179433.2</f>
        <v>750000</v>
      </c>
      <c r="S34" s="62">
        <f t="shared" si="31"/>
        <v>179433.19999999995</v>
      </c>
      <c r="T34" s="76" t="s">
        <v>63</v>
      </c>
    </row>
    <row r="35" spans="1:20" ht="31.5">
      <c r="A35" s="75" t="s">
        <v>64</v>
      </c>
      <c r="B35" s="64" t="s">
        <v>26</v>
      </c>
      <c r="C35" s="56" t="s">
        <v>65</v>
      </c>
      <c r="D35" s="57">
        <v>117918</v>
      </c>
      <c r="E35" s="58">
        <f t="shared" si="33"/>
        <v>117918</v>
      </c>
      <c r="F35" s="60">
        <f t="shared" si="33"/>
        <v>117918</v>
      </c>
      <c r="G35" s="60">
        <f t="shared" si="33"/>
        <v>117918</v>
      </c>
      <c r="H35" s="60">
        <f t="shared" si="33"/>
        <v>117918</v>
      </c>
      <c r="I35" s="60">
        <f t="shared" si="27"/>
        <v>117918</v>
      </c>
      <c r="J35" s="60">
        <f t="shared" si="27"/>
        <v>117918</v>
      </c>
      <c r="K35" s="60">
        <f t="shared" si="28"/>
        <v>117918</v>
      </c>
      <c r="L35" s="60">
        <f t="shared" si="29"/>
        <v>117918</v>
      </c>
      <c r="M35" s="61">
        <f>'[1]Бюдж роспись КБ'!K34/1000</f>
        <v>60371.095000000001</v>
      </c>
      <c r="N35" s="61">
        <f t="shared" si="2"/>
        <v>51.197522854865255</v>
      </c>
      <c r="O35" s="61">
        <v>60371.095000000001</v>
      </c>
      <c r="P35" s="61">
        <f t="shared" si="23"/>
        <v>0</v>
      </c>
      <c r="Q35" s="61">
        <f t="shared" si="24"/>
        <v>57546.904999999999</v>
      </c>
      <c r="R35" s="62">
        <f t="shared" si="30"/>
        <v>117918</v>
      </c>
      <c r="S35" s="62">
        <f t="shared" si="31"/>
        <v>0</v>
      </c>
      <c r="T35" s="19"/>
    </row>
    <row r="36" spans="1:20" ht="78.75">
      <c r="A36" s="77" t="s">
        <v>66</v>
      </c>
      <c r="B36" s="47" t="s">
        <v>26</v>
      </c>
      <c r="C36" s="56" t="s">
        <v>67</v>
      </c>
      <c r="D36" s="57">
        <v>63849.5</v>
      </c>
      <c r="E36" s="58">
        <f t="shared" si="33"/>
        <v>63849.5</v>
      </c>
      <c r="F36" s="59">
        <f>E36-10811.5</f>
        <v>53038</v>
      </c>
      <c r="G36" s="60">
        <f t="shared" si="33"/>
        <v>53038</v>
      </c>
      <c r="H36" s="60">
        <f t="shared" si="33"/>
        <v>53038</v>
      </c>
      <c r="I36" s="60">
        <f t="shared" si="27"/>
        <v>53038</v>
      </c>
      <c r="J36" s="60">
        <f t="shared" si="27"/>
        <v>53038</v>
      </c>
      <c r="K36" s="60">
        <f t="shared" si="28"/>
        <v>53038</v>
      </c>
      <c r="L36" s="60">
        <f t="shared" si="29"/>
        <v>53038</v>
      </c>
      <c r="M36" s="61">
        <f>('[1]Бюдж роспись КБ'!K35+'[1]Бюдж роспись КБ'!K36)/1000</f>
        <v>21172.45693</v>
      </c>
      <c r="N36" s="61">
        <f t="shared" si="2"/>
        <v>39.919410479279009</v>
      </c>
      <c r="O36" s="61">
        <v>18795.579430000002</v>
      </c>
      <c r="P36" s="61">
        <f t="shared" si="23"/>
        <v>2376.8774999999987</v>
      </c>
      <c r="Q36" s="61">
        <f t="shared" si="24"/>
        <v>31865.54307</v>
      </c>
      <c r="R36" s="62">
        <f>53038+120000</f>
        <v>173038</v>
      </c>
      <c r="S36" s="62">
        <f t="shared" si="31"/>
        <v>120000</v>
      </c>
      <c r="T36" s="78" t="s">
        <v>68</v>
      </c>
    </row>
    <row r="37" spans="1:20" ht="47.25">
      <c r="A37" s="68" t="s">
        <v>69</v>
      </c>
      <c r="B37" s="47" t="s">
        <v>26</v>
      </c>
      <c r="C37" s="56" t="s">
        <v>70</v>
      </c>
      <c r="D37" s="57">
        <v>6585</v>
      </c>
      <c r="E37" s="57">
        <f t="shared" si="33"/>
        <v>6585</v>
      </c>
      <c r="F37" s="57">
        <f t="shared" si="33"/>
        <v>6585</v>
      </c>
      <c r="G37" s="57">
        <f t="shared" si="33"/>
        <v>6585</v>
      </c>
      <c r="H37" s="57">
        <f t="shared" si="33"/>
        <v>6585</v>
      </c>
      <c r="I37" s="57">
        <f t="shared" si="27"/>
        <v>6585</v>
      </c>
      <c r="J37" s="57">
        <f t="shared" si="27"/>
        <v>6585</v>
      </c>
      <c r="K37" s="57">
        <f t="shared" si="28"/>
        <v>6585</v>
      </c>
      <c r="L37" s="57">
        <f t="shared" si="29"/>
        <v>6585</v>
      </c>
      <c r="M37" s="57">
        <f>'[1]Бюдж роспись КБ'!K37/1000</f>
        <v>1385.7</v>
      </c>
      <c r="N37" s="61">
        <f t="shared" si="2"/>
        <v>21.043280182232348</v>
      </c>
      <c r="O37" s="57">
        <v>1385.7</v>
      </c>
      <c r="P37" s="61">
        <f t="shared" si="23"/>
        <v>0</v>
      </c>
      <c r="Q37" s="61">
        <f t="shared" si="24"/>
        <v>5199.3</v>
      </c>
      <c r="R37" s="62">
        <f t="shared" si="30"/>
        <v>6585</v>
      </c>
      <c r="S37" s="62">
        <f t="shared" si="31"/>
        <v>0</v>
      </c>
      <c r="T37" s="19"/>
    </row>
    <row r="38" spans="1:20" ht="78.75">
      <c r="A38" s="68" t="s">
        <v>71</v>
      </c>
      <c r="B38" s="47" t="s">
        <v>26</v>
      </c>
      <c r="C38" s="56" t="s">
        <v>72</v>
      </c>
      <c r="D38" s="57">
        <v>70700</v>
      </c>
      <c r="E38" s="58">
        <f t="shared" si="33"/>
        <v>70700</v>
      </c>
      <c r="F38" s="59">
        <f>E38-16100</f>
        <v>54600</v>
      </c>
      <c r="G38" s="60">
        <f t="shared" si="33"/>
        <v>54600</v>
      </c>
      <c r="H38" s="60">
        <f t="shared" si="33"/>
        <v>54600</v>
      </c>
      <c r="I38" s="60">
        <f t="shared" si="27"/>
        <v>54600</v>
      </c>
      <c r="J38" s="60">
        <f t="shared" si="27"/>
        <v>54600</v>
      </c>
      <c r="K38" s="60">
        <f t="shared" si="28"/>
        <v>54600</v>
      </c>
      <c r="L38" s="60">
        <f t="shared" si="29"/>
        <v>54600</v>
      </c>
      <c r="M38" s="61">
        <f>'[1]Бюдж роспись КБ'!K38/1000</f>
        <v>7490</v>
      </c>
      <c r="N38" s="61">
        <f t="shared" si="2"/>
        <v>13.717948717948719</v>
      </c>
      <c r="O38" s="61">
        <v>7280</v>
      </c>
      <c r="P38" s="61">
        <f t="shared" si="23"/>
        <v>210</v>
      </c>
      <c r="Q38" s="61">
        <f t="shared" si="24"/>
        <v>47110</v>
      </c>
      <c r="R38" s="62">
        <f t="shared" si="30"/>
        <v>54600</v>
      </c>
      <c r="S38" s="62">
        <f t="shared" si="31"/>
        <v>0</v>
      </c>
      <c r="T38" s="19"/>
    </row>
    <row r="39" spans="1:20" ht="63">
      <c r="A39" s="79" t="s">
        <v>73</v>
      </c>
      <c r="B39" s="72" t="s">
        <v>26</v>
      </c>
      <c r="C39" s="80" t="s">
        <v>74</v>
      </c>
      <c r="D39" s="57">
        <v>83475.399999999994</v>
      </c>
      <c r="E39" s="58">
        <f t="shared" si="33"/>
        <v>83475.399999999994</v>
      </c>
      <c r="F39" s="59">
        <f>E39-12736.4</f>
        <v>70739</v>
      </c>
      <c r="G39" s="60">
        <f t="shared" si="33"/>
        <v>70739</v>
      </c>
      <c r="H39" s="60">
        <f t="shared" si="33"/>
        <v>70739</v>
      </c>
      <c r="I39" s="60">
        <f t="shared" si="27"/>
        <v>70739</v>
      </c>
      <c r="J39" s="60">
        <f t="shared" si="27"/>
        <v>70739</v>
      </c>
      <c r="K39" s="60">
        <f t="shared" si="28"/>
        <v>70739</v>
      </c>
      <c r="L39" s="60">
        <f t="shared" si="29"/>
        <v>70739</v>
      </c>
      <c r="M39" s="61">
        <f>'[1]Бюдж роспись КБ'!K39/1000</f>
        <v>20466.58138</v>
      </c>
      <c r="N39" s="61">
        <f t="shared" si="2"/>
        <v>28.932528562744736</v>
      </c>
      <c r="O39" s="61">
        <v>20466.58138</v>
      </c>
      <c r="P39" s="61">
        <f t="shared" si="23"/>
        <v>0</v>
      </c>
      <c r="Q39" s="61">
        <f t="shared" si="24"/>
        <v>50272.418619999997</v>
      </c>
      <c r="R39" s="65">
        <v>150000</v>
      </c>
      <c r="S39" s="66">
        <f t="shared" si="31"/>
        <v>79261</v>
      </c>
      <c r="T39" s="67" t="s">
        <v>75</v>
      </c>
    </row>
    <row r="40" spans="1:20" ht="47.25">
      <c r="A40" s="54" t="s">
        <v>76</v>
      </c>
      <c r="B40" s="72" t="s">
        <v>26</v>
      </c>
      <c r="C40" s="80" t="s">
        <v>77</v>
      </c>
      <c r="D40" s="57">
        <v>12850.5</v>
      </c>
      <c r="E40" s="58">
        <f t="shared" si="33"/>
        <v>12850.5</v>
      </c>
      <c r="F40" s="60">
        <f t="shared" si="33"/>
        <v>12850.5</v>
      </c>
      <c r="G40" s="60">
        <f t="shared" si="33"/>
        <v>12850.5</v>
      </c>
      <c r="H40" s="60">
        <f t="shared" si="33"/>
        <v>12850.5</v>
      </c>
      <c r="I40" s="60">
        <f t="shared" si="33"/>
        <v>12850.5</v>
      </c>
      <c r="J40" s="60">
        <f t="shared" si="33"/>
        <v>12850.5</v>
      </c>
      <c r="K40" s="60">
        <f t="shared" si="28"/>
        <v>12850.5</v>
      </c>
      <c r="L40" s="60">
        <f t="shared" si="29"/>
        <v>12850.5</v>
      </c>
      <c r="M40" s="61">
        <f>'[1]Бюдж роспись КБ'!K40/1000</f>
        <v>4365.9973300000001</v>
      </c>
      <c r="N40" s="61">
        <f t="shared" si="2"/>
        <v>33.975310921754023</v>
      </c>
      <c r="O40" s="61">
        <v>4365.9973300000001</v>
      </c>
      <c r="P40" s="61">
        <f t="shared" si="23"/>
        <v>0</v>
      </c>
      <c r="Q40" s="61">
        <f t="shared" si="24"/>
        <v>8484.5026699999999</v>
      </c>
      <c r="R40" s="62">
        <f t="shared" si="30"/>
        <v>12850.5</v>
      </c>
      <c r="S40" s="62">
        <f t="shared" si="31"/>
        <v>0</v>
      </c>
      <c r="T40" s="19"/>
    </row>
    <row r="41" spans="1:20" ht="47.25">
      <c r="A41" s="54" t="s">
        <v>78</v>
      </c>
      <c r="B41" s="72" t="s">
        <v>26</v>
      </c>
      <c r="C41" s="80" t="s">
        <v>79</v>
      </c>
      <c r="D41" s="57">
        <v>24740.799999999999</v>
      </c>
      <c r="E41" s="58">
        <f t="shared" si="33"/>
        <v>24740.799999999999</v>
      </c>
      <c r="F41" s="60">
        <f t="shared" si="33"/>
        <v>24740.799999999999</v>
      </c>
      <c r="G41" s="60">
        <f t="shared" si="33"/>
        <v>24740.799999999999</v>
      </c>
      <c r="H41" s="60">
        <f t="shared" si="33"/>
        <v>24740.799999999999</v>
      </c>
      <c r="I41" s="60">
        <f t="shared" si="33"/>
        <v>24740.799999999999</v>
      </c>
      <c r="J41" s="60">
        <f t="shared" si="33"/>
        <v>24740.799999999999</v>
      </c>
      <c r="K41" s="60">
        <f t="shared" si="28"/>
        <v>24740.799999999999</v>
      </c>
      <c r="L41" s="60">
        <f t="shared" si="29"/>
        <v>24740.799999999999</v>
      </c>
      <c r="M41" s="61">
        <f>'[1]Бюдж роспись КБ'!K41/1000</f>
        <v>0</v>
      </c>
      <c r="N41" s="61">
        <f t="shared" si="2"/>
        <v>0</v>
      </c>
      <c r="O41" s="61"/>
      <c r="P41" s="61">
        <f t="shared" si="23"/>
        <v>0</v>
      </c>
      <c r="Q41" s="61">
        <f t="shared" si="24"/>
        <v>24740.799999999999</v>
      </c>
      <c r="R41" s="62">
        <f t="shared" si="30"/>
        <v>24740.799999999999</v>
      </c>
      <c r="S41" s="62">
        <f t="shared" si="31"/>
        <v>0</v>
      </c>
      <c r="T41" s="19"/>
    </row>
    <row r="42" spans="1:20" ht="31.5">
      <c r="A42" s="75" t="s">
        <v>80</v>
      </c>
      <c r="B42" s="64" t="s">
        <v>26</v>
      </c>
      <c r="C42" s="56" t="s">
        <v>81</v>
      </c>
      <c r="D42" s="57">
        <v>55744</v>
      </c>
      <c r="E42" s="58">
        <f t="shared" si="33"/>
        <v>55744</v>
      </c>
      <c r="F42" s="60">
        <f t="shared" si="33"/>
        <v>55744</v>
      </c>
      <c r="G42" s="60">
        <f t="shared" si="33"/>
        <v>55744</v>
      </c>
      <c r="H42" s="60">
        <f t="shared" si="33"/>
        <v>55744</v>
      </c>
      <c r="I42" s="60">
        <f t="shared" si="33"/>
        <v>55744</v>
      </c>
      <c r="J42" s="60">
        <f t="shared" si="33"/>
        <v>55744</v>
      </c>
      <c r="K42" s="60">
        <f t="shared" si="28"/>
        <v>55744</v>
      </c>
      <c r="L42" s="60">
        <f t="shared" si="29"/>
        <v>55744</v>
      </c>
      <c r="M42" s="61">
        <f>'[1]Бюдж роспись КБ'!K42/1000</f>
        <v>55744</v>
      </c>
      <c r="N42" s="61">
        <f t="shared" si="2"/>
        <v>100</v>
      </c>
      <c r="O42" s="61">
        <v>55744</v>
      </c>
      <c r="P42" s="61">
        <f t="shared" si="23"/>
        <v>0</v>
      </c>
      <c r="Q42" s="61">
        <f t="shared" si="24"/>
        <v>0</v>
      </c>
      <c r="R42" s="62">
        <v>55927.040000000001</v>
      </c>
      <c r="S42" s="62">
        <f t="shared" si="31"/>
        <v>183.04000000000087</v>
      </c>
      <c r="T42" s="67" t="s">
        <v>82</v>
      </c>
    </row>
    <row r="43" spans="1:20" ht="31.5">
      <c r="A43" s="54" t="s">
        <v>83</v>
      </c>
      <c r="B43" s="47" t="s">
        <v>26</v>
      </c>
      <c r="C43" s="56" t="s">
        <v>84</v>
      </c>
      <c r="D43" s="57">
        <v>1942.5</v>
      </c>
      <c r="E43" s="58">
        <f t="shared" si="33"/>
        <v>1942.5</v>
      </c>
      <c r="F43" s="60">
        <f t="shared" si="33"/>
        <v>1942.5</v>
      </c>
      <c r="G43" s="60">
        <f t="shared" si="33"/>
        <v>1942.5</v>
      </c>
      <c r="H43" s="60">
        <f t="shared" si="33"/>
        <v>1942.5</v>
      </c>
      <c r="I43" s="60">
        <f t="shared" si="33"/>
        <v>1942.5</v>
      </c>
      <c r="J43" s="60">
        <f t="shared" si="33"/>
        <v>1942.5</v>
      </c>
      <c r="K43" s="60">
        <f t="shared" si="28"/>
        <v>1942.5</v>
      </c>
      <c r="L43" s="60">
        <f t="shared" si="29"/>
        <v>1942.5</v>
      </c>
      <c r="M43" s="61">
        <f>'[1]Бюдж роспись КБ'!K43/1000</f>
        <v>266.81777</v>
      </c>
      <c r="N43" s="61">
        <f t="shared" si="2"/>
        <v>13.735792535392536</v>
      </c>
      <c r="O43" s="61"/>
      <c r="P43" s="61">
        <f t="shared" si="23"/>
        <v>266.81777</v>
      </c>
      <c r="Q43" s="61">
        <f t="shared" si="24"/>
        <v>1675.6822299999999</v>
      </c>
      <c r="R43" s="62">
        <f t="shared" si="30"/>
        <v>1942.5</v>
      </c>
      <c r="S43" s="62">
        <f t="shared" si="31"/>
        <v>0</v>
      </c>
      <c r="T43" s="19"/>
    </row>
    <row r="44" spans="1:20" ht="31.5">
      <c r="A44" s="54" t="s">
        <v>85</v>
      </c>
      <c r="B44" s="47" t="s">
        <v>26</v>
      </c>
      <c r="C44" s="56" t="s">
        <v>86</v>
      </c>
      <c r="D44" s="57">
        <v>10057.5</v>
      </c>
      <c r="E44" s="58">
        <f t="shared" si="33"/>
        <v>10057.5</v>
      </c>
      <c r="F44" s="59">
        <f>E44+20000</f>
        <v>30057.5</v>
      </c>
      <c r="G44" s="60">
        <f t="shared" si="33"/>
        <v>30057.5</v>
      </c>
      <c r="H44" s="60">
        <f t="shared" si="33"/>
        <v>30057.5</v>
      </c>
      <c r="I44" s="60">
        <f t="shared" si="33"/>
        <v>30057.5</v>
      </c>
      <c r="J44" s="60">
        <f t="shared" si="33"/>
        <v>30057.5</v>
      </c>
      <c r="K44" s="60">
        <f t="shared" si="28"/>
        <v>30057.5</v>
      </c>
      <c r="L44" s="60">
        <f t="shared" si="29"/>
        <v>30057.5</v>
      </c>
      <c r="M44" s="61">
        <f>'[1]Бюдж роспись КБ'!K44/1000</f>
        <v>11157.64861</v>
      </c>
      <c r="N44" s="61">
        <f t="shared" si="2"/>
        <v>37.121013424270153</v>
      </c>
      <c r="O44" s="61"/>
      <c r="P44" s="61">
        <f t="shared" si="23"/>
        <v>11157.64861</v>
      </c>
      <c r="Q44" s="61">
        <f t="shared" si="24"/>
        <v>18899.85139</v>
      </c>
      <c r="R44" s="62">
        <f t="shared" si="30"/>
        <v>30057.5</v>
      </c>
      <c r="S44" s="62">
        <f t="shared" si="31"/>
        <v>0</v>
      </c>
      <c r="T44" s="19"/>
    </row>
    <row r="45" spans="1:20" ht="157.5">
      <c r="A45" s="68" t="s">
        <v>87</v>
      </c>
      <c r="B45" s="47" t="s">
        <v>24</v>
      </c>
      <c r="C45" s="56" t="s">
        <v>88</v>
      </c>
      <c r="D45" s="57"/>
      <c r="E45" s="58">
        <f t="shared" si="33"/>
        <v>0</v>
      </c>
      <c r="F45" s="60">
        <f t="shared" si="33"/>
        <v>0</v>
      </c>
      <c r="G45" s="60">
        <f t="shared" si="33"/>
        <v>0</v>
      </c>
      <c r="H45" s="60">
        <f t="shared" si="33"/>
        <v>0</v>
      </c>
      <c r="I45" s="60">
        <f t="shared" si="33"/>
        <v>0</v>
      </c>
      <c r="J45" s="60">
        <f t="shared" si="33"/>
        <v>0</v>
      </c>
      <c r="K45" s="60">
        <f t="shared" si="28"/>
        <v>0</v>
      </c>
      <c r="L45" s="60">
        <f t="shared" si="29"/>
        <v>0</v>
      </c>
      <c r="M45" s="61"/>
      <c r="N45" s="61"/>
      <c r="O45" s="61"/>
      <c r="P45" s="70">
        <f t="shared" si="23"/>
        <v>0</v>
      </c>
      <c r="Q45" s="61">
        <f t="shared" si="24"/>
        <v>0</v>
      </c>
      <c r="R45" s="62">
        <f t="shared" si="30"/>
        <v>0</v>
      </c>
      <c r="S45" s="62">
        <f t="shared" si="31"/>
        <v>0</v>
      </c>
      <c r="T45" s="19"/>
    </row>
    <row r="46" spans="1:20">
      <c r="A46" s="40" t="s">
        <v>25</v>
      </c>
      <c r="B46" s="47" t="s">
        <v>26</v>
      </c>
      <c r="C46" s="56" t="s">
        <v>88</v>
      </c>
      <c r="D46" s="57">
        <v>266156.5</v>
      </c>
      <c r="E46" s="57">
        <f t="shared" si="33"/>
        <v>266156.5</v>
      </c>
      <c r="F46" s="81">
        <f>E46+100000</f>
        <v>366156.5</v>
      </c>
      <c r="G46" s="57">
        <f t="shared" si="33"/>
        <v>366156.5</v>
      </c>
      <c r="H46" s="57">
        <f t="shared" si="33"/>
        <v>366156.5</v>
      </c>
      <c r="I46" s="57">
        <f t="shared" si="33"/>
        <v>366156.5</v>
      </c>
      <c r="J46" s="57">
        <f t="shared" si="33"/>
        <v>366156.5</v>
      </c>
      <c r="K46" s="57">
        <f t="shared" si="28"/>
        <v>366156.5</v>
      </c>
      <c r="L46" s="57">
        <f t="shared" si="29"/>
        <v>366156.5</v>
      </c>
      <c r="M46" s="61">
        <f>('[1]Бюдж роспись КБ'!K45+'[1]Бюдж роспись КБ'!K46+'[1]Бюдж роспись КБ'!K47+'[1]Бюдж роспись КБ'!K48)/1000</f>
        <v>256733.75126999998</v>
      </c>
      <c r="N46" s="61">
        <f t="shared" si="2"/>
        <v>70.115852448338345</v>
      </c>
      <c r="O46" s="61">
        <v>256594.83515999999</v>
      </c>
      <c r="P46" s="61">
        <f>M46-O46</f>
        <v>138.91610999999102</v>
      </c>
      <c r="Q46" s="61">
        <f t="shared" si="24"/>
        <v>109422.74873000002</v>
      </c>
      <c r="R46" s="62">
        <f t="shared" si="30"/>
        <v>366156.5</v>
      </c>
      <c r="S46" s="62">
        <f t="shared" si="31"/>
        <v>0</v>
      </c>
      <c r="T46" s="19"/>
    </row>
    <row r="47" spans="1:20">
      <c r="A47" s="40" t="s">
        <v>27</v>
      </c>
      <c r="B47" s="47" t="s">
        <v>28</v>
      </c>
      <c r="C47" s="56" t="s">
        <v>88</v>
      </c>
      <c r="D47" s="57"/>
      <c r="E47" s="82">
        <v>279642.09999999998</v>
      </c>
      <c r="F47" s="57">
        <f t="shared" ref="F47:J62" si="34">E47</f>
        <v>279642.09999999998</v>
      </c>
      <c r="G47" s="57">
        <f t="shared" si="34"/>
        <v>279642.09999999998</v>
      </c>
      <c r="H47" s="57">
        <f t="shared" si="34"/>
        <v>279642.09999999998</v>
      </c>
      <c r="I47" s="57">
        <f t="shared" si="34"/>
        <v>279642.09999999998</v>
      </c>
      <c r="J47" s="57">
        <f t="shared" si="34"/>
        <v>279642.09999999998</v>
      </c>
      <c r="K47" s="57">
        <f t="shared" si="28"/>
        <v>279642.09999999998</v>
      </c>
      <c r="L47" s="57">
        <f t="shared" si="29"/>
        <v>279642.09999999998</v>
      </c>
      <c r="M47" s="61">
        <f>('[1]Бюдж роспись КБ'!K50+'[1]Бюдж роспись КБ'!K49)/1000</f>
        <v>269553.62110999995</v>
      </c>
      <c r="N47" s="61">
        <f t="shared" si="2"/>
        <v>96.392360488638857</v>
      </c>
      <c r="O47" s="61">
        <v>269159.88011000003</v>
      </c>
      <c r="P47" s="61">
        <f>M47-O47</f>
        <v>393.74099999992177</v>
      </c>
      <c r="Q47" s="61">
        <f t="shared" si="24"/>
        <v>10088.478890000028</v>
      </c>
      <c r="R47" s="62">
        <f t="shared" si="30"/>
        <v>279642.09999999998</v>
      </c>
      <c r="S47" s="62">
        <f t="shared" si="31"/>
        <v>0</v>
      </c>
      <c r="T47" s="19"/>
    </row>
    <row r="48" spans="1:20" ht="31.5">
      <c r="A48" s="75" t="s">
        <v>89</v>
      </c>
      <c r="B48" s="47" t="s">
        <v>24</v>
      </c>
      <c r="C48" s="56" t="s">
        <v>90</v>
      </c>
      <c r="D48" s="57"/>
      <c r="E48" s="57">
        <f t="shared" ref="E48:J63" si="35">D48</f>
        <v>0</v>
      </c>
      <c r="F48" s="57">
        <f t="shared" si="34"/>
        <v>0</v>
      </c>
      <c r="G48" s="57">
        <f t="shared" si="34"/>
        <v>0</v>
      </c>
      <c r="H48" s="57">
        <f t="shared" si="34"/>
        <v>0</v>
      </c>
      <c r="I48" s="57">
        <f t="shared" si="34"/>
        <v>0</v>
      </c>
      <c r="J48" s="57">
        <f t="shared" si="34"/>
        <v>0</v>
      </c>
      <c r="K48" s="57">
        <f t="shared" si="28"/>
        <v>0</v>
      </c>
      <c r="L48" s="57">
        <f t="shared" si="29"/>
        <v>0</v>
      </c>
      <c r="M48" s="61"/>
      <c r="N48" s="61"/>
      <c r="O48" s="61"/>
      <c r="P48" s="61">
        <f t="shared" ref="P48:P67" si="36">M48-O48</f>
        <v>0</v>
      </c>
      <c r="Q48" s="61">
        <f t="shared" si="24"/>
        <v>0</v>
      </c>
      <c r="R48" s="62">
        <f t="shared" si="30"/>
        <v>0</v>
      </c>
      <c r="S48" s="62">
        <f t="shared" si="31"/>
        <v>0</v>
      </c>
      <c r="T48" s="19"/>
    </row>
    <row r="49" spans="1:20">
      <c r="A49" s="40" t="s">
        <v>25</v>
      </c>
      <c r="B49" s="47" t="s">
        <v>26</v>
      </c>
      <c r="C49" s="56" t="s">
        <v>90</v>
      </c>
      <c r="D49" s="57">
        <v>615021.4</v>
      </c>
      <c r="E49" s="57">
        <f t="shared" si="35"/>
        <v>615021.4</v>
      </c>
      <c r="F49" s="81">
        <f>E49-562376.8</f>
        <v>52644.599999999977</v>
      </c>
      <c r="G49" s="57">
        <f t="shared" si="34"/>
        <v>52644.599999999977</v>
      </c>
      <c r="H49" s="57">
        <f t="shared" si="34"/>
        <v>52644.599999999977</v>
      </c>
      <c r="I49" s="57">
        <f t="shared" si="34"/>
        <v>52644.599999999977</v>
      </c>
      <c r="J49" s="57">
        <f t="shared" si="34"/>
        <v>52644.599999999977</v>
      </c>
      <c r="K49" s="57">
        <f t="shared" si="28"/>
        <v>52644.599999999977</v>
      </c>
      <c r="L49" s="57">
        <f t="shared" si="29"/>
        <v>52644.599999999977</v>
      </c>
      <c r="M49" s="61">
        <f>('[1]Бюдж роспись КБ'!K52+'[1]Бюдж роспись КБ'!K53)/1000</f>
        <v>30855.696920000002</v>
      </c>
      <c r="N49" s="61">
        <f t="shared" si="2"/>
        <v>58.611323706515037</v>
      </c>
      <c r="O49" s="61">
        <f>436.05332+24668.31238</f>
        <v>25104.365699999998</v>
      </c>
      <c r="P49" s="61">
        <f t="shared" si="36"/>
        <v>5751.3312200000037</v>
      </c>
      <c r="Q49" s="61">
        <f t="shared" si="24"/>
        <v>21788.903079999975</v>
      </c>
      <c r="R49" s="62">
        <f t="shared" si="30"/>
        <v>52644.599999999977</v>
      </c>
      <c r="S49" s="62">
        <f t="shared" si="31"/>
        <v>0</v>
      </c>
      <c r="T49" s="19"/>
    </row>
    <row r="50" spans="1:20">
      <c r="A50" s="40" t="s">
        <v>27</v>
      </c>
      <c r="B50" s="47" t="s">
        <v>28</v>
      </c>
      <c r="C50" s="56" t="s">
        <v>90</v>
      </c>
      <c r="D50" s="57"/>
      <c r="E50" s="82">
        <v>157933.6</v>
      </c>
      <c r="F50" s="57">
        <f t="shared" ref="F50:F53" si="37">E50</f>
        <v>157933.6</v>
      </c>
      <c r="G50" s="57">
        <f t="shared" si="34"/>
        <v>157933.6</v>
      </c>
      <c r="H50" s="57">
        <f t="shared" si="34"/>
        <v>157933.6</v>
      </c>
      <c r="I50" s="57">
        <f t="shared" si="34"/>
        <v>157933.6</v>
      </c>
      <c r="J50" s="57">
        <f t="shared" si="34"/>
        <v>157933.6</v>
      </c>
      <c r="K50" s="57">
        <f t="shared" si="28"/>
        <v>157933.6</v>
      </c>
      <c r="L50" s="57">
        <f t="shared" si="29"/>
        <v>157933.6</v>
      </c>
      <c r="M50" s="61">
        <f>('[1]Бюдж роспись КБ'!K54+'[1]Бюдж роспись КБ'!K55)/1000</f>
        <v>92567.090760000006</v>
      </c>
      <c r="N50" s="61">
        <f t="shared" si="2"/>
        <v>58.611397929256349</v>
      </c>
      <c r="O50" s="61">
        <f>1308.15996+74004.93714</f>
        <v>75313.097099999999</v>
      </c>
      <c r="P50" s="61">
        <f t="shared" si="36"/>
        <v>17253.993660000007</v>
      </c>
      <c r="Q50" s="61">
        <f t="shared" si="24"/>
        <v>65366.509239999999</v>
      </c>
      <c r="R50" s="62">
        <f t="shared" si="30"/>
        <v>157933.6</v>
      </c>
      <c r="S50" s="62">
        <f t="shared" si="31"/>
        <v>0</v>
      </c>
      <c r="T50" s="19"/>
    </row>
    <row r="51" spans="1:20" ht="31.5">
      <c r="A51" s="77" t="s">
        <v>91</v>
      </c>
      <c r="B51" s="47" t="s">
        <v>24</v>
      </c>
      <c r="C51" s="56" t="s">
        <v>92</v>
      </c>
      <c r="D51" s="57"/>
      <c r="E51" s="58">
        <f t="shared" ref="E51:E53" si="38">D51</f>
        <v>0</v>
      </c>
      <c r="F51" s="60">
        <f t="shared" si="37"/>
        <v>0</v>
      </c>
      <c r="G51" s="60">
        <f t="shared" si="34"/>
        <v>0</v>
      </c>
      <c r="H51" s="60">
        <f t="shared" si="34"/>
        <v>0</v>
      </c>
      <c r="I51" s="60">
        <f t="shared" si="34"/>
        <v>0</v>
      </c>
      <c r="J51" s="60">
        <f t="shared" si="34"/>
        <v>0</v>
      </c>
      <c r="K51" s="60">
        <f t="shared" si="28"/>
        <v>0</v>
      </c>
      <c r="L51" s="60">
        <f t="shared" si="29"/>
        <v>0</v>
      </c>
      <c r="M51" s="61"/>
      <c r="N51" s="61"/>
      <c r="O51" s="61"/>
      <c r="P51" s="61">
        <f t="shared" si="36"/>
        <v>0</v>
      </c>
      <c r="Q51" s="61">
        <f t="shared" si="24"/>
        <v>0</v>
      </c>
      <c r="R51" s="62">
        <f t="shared" si="30"/>
        <v>0</v>
      </c>
      <c r="S51" s="62">
        <f t="shared" si="31"/>
        <v>0</v>
      </c>
      <c r="T51" s="19"/>
    </row>
    <row r="52" spans="1:20">
      <c r="A52" s="40" t="s">
        <v>25</v>
      </c>
      <c r="B52" s="47" t="s">
        <v>26</v>
      </c>
      <c r="C52" s="56" t="s">
        <v>92</v>
      </c>
      <c r="D52" s="57">
        <v>88668.2</v>
      </c>
      <c r="E52" s="58">
        <f t="shared" si="38"/>
        <v>88668.2</v>
      </c>
      <c r="F52" s="60">
        <f t="shared" si="37"/>
        <v>88668.2</v>
      </c>
      <c r="G52" s="60">
        <f t="shared" si="34"/>
        <v>88668.2</v>
      </c>
      <c r="H52" s="60">
        <f t="shared" si="34"/>
        <v>88668.2</v>
      </c>
      <c r="I52" s="60">
        <f t="shared" si="34"/>
        <v>88668.2</v>
      </c>
      <c r="J52" s="60">
        <f t="shared" si="34"/>
        <v>88668.2</v>
      </c>
      <c r="K52" s="60">
        <f t="shared" si="28"/>
        <v>88668.2</v>
      </c>
      <c r="L52" s="60">
        <f t="shared" si="29"/>
        <v>88668.2</v>
      </c>
      <c r="M52" s="61">
        <f>('[1]Бюдж роспись КБ'!K56+'[1]Бюдж роспись КБ'!K57)/1000</f>
        <v>60288.963680000001</v>
      </c>
      <c r="N52" s="61">
        <f t="shared" si="2"/>
        <v>67.993895985257396</v>
      </c>
      <c r="O52" s="61"/>
      <c r="P52" s="61">
        <f t="shared" si="36"/>
        <v>60288.963680000001</v>
      </c>
      <c r="Q52" s="61">
        <f t="shared" si="24"/>
        <v>28379.236319999996</v>
      </c>
      <c r="R52" s="62">
        <f t="shared" si="30"/>
        <v>88668.2</v>
      </c>
      <c r="S52" s="62">
        <f t="shared" si="31"/>
        <v>0</v>
      </c>
      <c r="T52" s="19"/>
    </row>
    <row r="53" spans="1:20">
      <c r="A53" s="40" t="s">
        <v>27</v>
      </c>
      <c r="B53" s="47" t="s">
        <v>28</v>
      </c>
      <c r="C53" s="56" t="s">
        <v>92</v>
      </c>
      <c r="D53" s="57">
        <v>266004.59999999998</v>
      </c>
      <c r="E53" s="58">
        <f t="shared" si="38"/>
        <v>266004.59999999998</v>
      </c>
      <c r="F53" s="60">
        <f t="shared" si="37"/>
        <v>266004.59999999998</v>
      </c>
      <c r="G53" s="60">
        <f t="shared" si="34"/>
        <v>266004.59999999998</v>
      </c>
      <c r="H53" s="60">
        <f t="shared" si="34"/>
        <v>266004.59999999998</v>
      </c>
      <c r="I53" s="60">
        <f t="shared" si="34"/>
        <v>266004.59999999998</v>
      </c>
      <c r="J53" s="60">
        <f t="shared" si="34"/>
        <v>266004.59999999998</v>
      </c>
      <c r="K53" s="60">
        <f t="shared" si="28"/>
        <v>266004.59999999998</v>
      </c>
      <c r="L53" s="60">
        <f t="shared" si="29"/>
        <v>266004.59999999998</v>
      </c>
      <c r="M53" s="61">
        <f>('[1]Бюдж роспись КБ'!K58+'[1]Бюдж роспись КБ'!K59)/1000</f>
        <v>180866.87746000002</v>
      </c>
      <c r="N53" s="61">
        <f t="shared" si="2"/>
        <v>67.993890880082546</v>
      </c>
      <c r="O53" s="61"/>
      <c r="P53" s="61">
        <f t="shared" si="36"/>
        <v>180866.87746000002</v>
      </c>
      <c r="Q53" s="61">
        <f t="shared" si="24"/>
        <v>85137.722539999959</v>
      </c>
      <c r="R53" s="62">
        <f t="shared" si="30"/>
        <v>266004.59999999998</v>
      </c>
      <c r="S53" s="62">
        <f t="shared" si="31"/>
        <v>0</v>
      </c>
      <c r="T53" s="19"/>
    </row>
    <row r="54" spans="1:20" ht="31.5">
      <c r="A54" s="77" t="s">
        <v>93</v>
      </c>
      <c r="B54" s="47" t="s">
        <v>24</v>
      </c>
      <c r="C54" s="56" t="s">
        <v>94</v>
      </c>
      <c r="D54" s="57"/>
      <c r="E54" s="58">
        <f t="shared" si="35"/>
        <v>0</v>
      </c>
      <c r="F54" s="60">
        <f t="shared" si="34"/>
        <v>0</v>
      </c>
      <c r="G54" s="60">
        <f t="shared" si="34"/>
        <v>0</v>
      </c>
      <c r="H54" s="60">
        <f t="shared" si="34"/>
        <v>0</v>
      </c>
      <c r="I54" s="60">
        <f t="shared" si="34"/>
        <v>0</v>
      </c>
      <c r="J54" s="60">
        <f t="shared" si="34"/>
        <v>0</v>
      </c>
      <c r="K54" s="60">
        <f t="shared" si="28"/>
        <v>0</v>
      </c>
      <c r="L54" s="60">
        <f t="shared" si="29"/>
        <v>0</v>
      </c>
      <c r="M54" s="61"/>
      <c r="N54" s="61"/>
      <c r="O54" s="61"/>
      <c r="P54" s="61">
        <f t="shared" si="36"/>
        <v>0</v>
      </c>
      <c r="Q54" s="61">
        <f t="shared" si="24"/>
        <v>0</v>
      </c>
      <c r="R54" s="62">
        <f t="shared" si="30"/>
        <v>0</v>
      </c>
      <c r="S54" s="62">
        <f t="shared" si="31"/>
        <v>0</v>
      </c>
      <c r="T54" s="19"/>
    </row>
    <row r="55" spans="1:20">
      <c r="A55" s="40" t="s">
        <v>25</v>
      </c>
      <c r="B55" s="47" t="s">
        <v>26</v>
      </c>
      <c r="C55" s="56" t="s">
        <v>94</v>
      </c>
      <c r="D55" s="57">
        <v>1007.3</v>
      </c>
      <c r="E55" s="58">
        <f t="shared" si="35"/>
        <v>1007.3</v>
      </c>
      <c r="F55" s="60">
        <f t="shared" si="35"/>
        <v>1007.3</v>
      </c>
      <c r="G55" s="60">
        <f t="shared" si="35"/>
        <v>1007.3</v>
      </c>
      <c r="H55" s="60">
        <f t="shared" si="35"/>
        <v>1007.3</v>
      </c>
      <c r="I55" s="60">
        <f t="shared" si="34"/>
        <v>1007.3</v>
      </c>
      <c r="J55" s="60">
        <f t="shared" si="34"/>
        <v>1007.3</v>
      </c>
      <c r="K55" s="60">
        <f t="shared" si="28"/>
        <v>1007.3</v>
      </c>
      <c r="L55" s="60">
        <f t="shared" si="29"/>
        <v>1007.3</v>
      </c>
      <c r="M55" s="61">
        <f>'[1]Бюдж роспись КБ'!K60/1000</f>
        <v>0</v>
      </c>
      <c r="N55" s="61">
        <f t="shared" si="2"/>
        <v>0</v>
      </c>
      <c r="O55" s="61"/>
      <c r="P55" s="61">
        <f t="shared" si="36"/>
        <v>0</v>
      </c>
      <c r="Q55" s="61">
        <f t="shared" si="24"/>
        <v>1007.3</v>
      </c>
      <c r="R55" s="62">
        <f t="shared" si="30"/>
        <v>1007.3</v>
      </c>
      <c r="S55" s="62">
        <f t="shared" si="31"/>
        <v>0</v>
      </c>
      <c r="T55" s="19"/>
    </row>
    <row r="56" spans="1:20">
      <c r="A56" s="40" t="s">
        <v>27</v>
      </c>
      <c r="B56" s="47" t="s">
        <v>28</v>
      </c>
      <c r="C56" s="56" t="s">
        <v>94</v>
      </c>
      <c r="D56" s="57">
        <v>3021.9</v>
      </c>
      <c r="E56" s="58">
        <f t="shared" si="35"/>
        <v>3021.9</v>
      </c>
      <c r="F56" s="60">
        <f t="shared" si="35"/>
        <v>3021.9</v>
      </c>
      <c r="G56" s="60">
        <f t="shared" si="35"/>
        <v>3021.9</v>
      </c>
      <c r="H56" s="60">
        <f t="shared" si="35"/>
        <v>3021.9</v>
      </c>
      <c r="I56" s="60">
        <f t="shared" si="34"/>
        <v>3021.9</v>
      </c>
      <c r="J56" s="60">
        <f t="shared" si="34"/>
        <v>3021.9</v>
      </c>
      <c r="K56" s="60">
        <f t="shared" si="28"/>
        <v>3021.9</v>
      </c>
      <c r="L56" s="60">
        <f t="shared" si="29"/>
        <v>3021.9</v>
      </c>
      <c r="M56" s="61">
        <f>'[1]Бюдж роспись КБ'!K61/1000</f>
        <v>0</v>
      </c>
      <c r="N56" s="61">
        <f t="shared" si="2"/>
        <v>0</v>
      </c>
      <c r="O56" s="61"/>
      <c r="P56" s="61">
        <f t="shared" si="36"/>
        <v>0</v>
      </c>
      <c r="Q56" s="61">
        <f t="shared" si="24"/>
        <v>3021.9</v>
      </c>
      <c r="R56" s="62">
        <f t="shared" si="30"/>
        <v>3021.9</v>
      </c>
      <c r="S56" s="62">
        <f t="shared" si="31"/>
        <v>0</v>
      </c>
      <c r="T56" s="19"/>
    </row>
    <row r="57" spans="1:20" ht="47.25">
      <c r="A57" s="77" t="s">
        <v>95</v>
      </c>
      <c r="B57" s="47" t="s">
        <v>24</v>
      </c>
      <c r="C57" s="56" t="s">
        <v>96</v>
      </c>
      <c r="D57" s="57"/>
      <c r="E57" s="58">
        <f t="shared" si="35"/>
        <v>0</v>
      </c>
      <c r="F57" s="60">
        <f t="shared" si="35"/>
        <v>0</v>
      </c>
      <c r="G57" s="60">
        <f t="shared" si="35"/>
        <v>0</v>
      </c>
      <c r="H57" s="60">
        <f t="shared" si="35"/>
        <v>0</v>
      </c>
      <c r="I57" s="60">
        <f t="shared" si="34"/>
        <v>0</v>
      </c>
      <c r="J57" s="60">
        <f t="shared" si="34"/>
        <v>0</v>
      </c>
      <c r="K57" s="60">
        <f t="shared" si="28"/>
        <v>0</v>
      </c>
      <c r="L57" s="60">
        <f t="shared" si="29"/>
        <v>0</v>
      </c>
      <c r="M57" s="61"/>
      <c r="N57" s="61"/>
      <c r="O57" s="61"/>
      <c r="P57" s="61">
        <f t="shared" si="36"/>
        <v>0</v>
      </c>
      <c r="Q57" s="61">
        <f t="shared" si="24"/>
        <v>0</v>
      </c>
      <c r="R57" s="62">
        <f t="shared" si="30"/>
        <v>0</v>
      </c>
      <c r="S57" s="62">
        <f t="shared" si="31"/>
        <v>0</v>
      </c>
      <c r="T57" s="19"/>
    </row>
    <row r="58" spans="1:20">
      <c r="A58" s="40" t="s">
        <v>25</v>
      </c>
      <c r="B58" s="47" t="s">
        <v>26</v>
      </c>
      <c r="C58" s="56" t="s">
        <v>96</v>
      </c>
      <c r="D58" s="57">
        <v>55661.4</v>
      </c>
      <c r="E58" s="58">
        <f t="shared" si="35"/>
        <v>55661.4</v>
      </c>
      <c r="F58" s="60">
        <f t="shared" si="35"/>
        <v>55661.4</v>
      </c>
      <c r="G58" s="60">
        <f t="shared" si="35"/>
        <v>55661.4</v>
      </c>
      <c r="H58" s="60">
        <f t="shared" si="35"/>
        <v>55661.4</v>
      </c>
      <c r="I58" s="60">
        <f t="shared" si="34"/>
        <v>55661.4</v>
      </c>
      <c r="J58" s="60">
        <f t="shared" si="34"/>
        <v>55661.4</v>
      </c>
      <c r="K58" s="60">
        <f t="shared" si="28"/>
        <v>55661.4</v>
      </c>
      <c r="L58" s="60">
        <f t="shared" si="29"/>
        <v>55661.4</v>
      </c>
      <c r="M58" s="61">
        <f>('[1]Бюдж роспись КБ'!K62+'[1]Бюдж роспись КБ'!K63)/1000</f>
        <v>51971.814449999998</v>
      </c>
      <c r="N58" s="61">
        <f t="shared" si="2"/>
        <v>93.371374866604143</v>
      </c>
      <c r="O58" s="61">
        <f>1735.6031+49742.07494</f>
        <v>51477.678039999999</v>
      </c>
      <c r="P58" s="61">
        <f t="shared" si="36"/>
        <v>494.13640999999916</v>
      </c>
      <c r="Q58" s="61">
        <f t="shared" si="24"/>
        <v>3689.5855500000034</v>
      </c>
      <c r="R58" s="62">
        <f t="shared" si="30"/>
        <v>55661.4</v>
      </c>
      <c r="S58" s="62">
        <f t="shared" si="31"/>
        <v>0</v>
      </c>
      <c r="T58" s="19"/>
    </row>
    <row r="59" spans="1:20">
      <c r="A59" s="40" t="s">
        <v>27</v>
      </c>
      <c r="B59" s="47" t="s">
        <v>28</v>
      </c>
      <c r="C59" s="56" t="s">
        <v>96</v>
      </c>
      <c r="D59" s="57">
        <v>166984.20000000001</v>
      </c>
      <c r="E59" s="58">
        <f t="shared" si="35"/>
        <v>166984.20000000001</v>
      </c>
      <c r="F59" s="60">
        <f t="shared" si="35"/>
        <v>166984.20000000001</v>
      </c>
      <c r="G59" s="60">
        <f t="shared" si="35"/>
        <v>166984.20000000001</v>
      </c>
      <c r="H59" s="60">
        <f t="shared" si="35"/>
        <v>166984.20000000001</v>
      </c>
      <c r="I59" s="60">
        <f t="shared" si="34"/>
        <v>166984.20000000001</v>
      </c>
      <c r="J59" s="60">
        <f t="shared" si="34"/>
        <v>166984.20000000001</v>
      </c>
      <c r="K59" s="60">
        <f t="shared" si="28"/>
        <v>166984.20000000001</v>
      </c>
      <c r="L59" s="60">
        <f t="shared" si="29"/>
        <v>166984.20000000001</v>
      </c>
      <c r="M59" s="61">
        <f>('[1]Бюдж роспись КБ'!K64+'[1]Бюдж роспись КБ'!K65)/1000</f>
        <v>155915.44336999999</v>
      </c>
      <c r="N59" s="61">
        <f t="shared" si="2"/>
        <v>93.371374878581321</v>
      </c>
      <c r="O59" s="61">
        <f>5206.8093+149226.22483</f>
        <v>154433.03412999999</v>
      </c>
      <c r="P59" s="61">
        <f t="shared" si="36"/>
        <v>1482.4092400000081</v>
      </c>
      <c r="Q59" s="61">
        <f t="shared" si="24"/>
        <v>11068.756630000018</v>
      </c>
      <c r="R59" s="62">
        <f t="shared" si="30"/>
        <v>166984.20000000001</v>
      </c>
      <c r="S59" s="62">
        <f t="shared" si="31"/>
        <v>0</v>
      </c>
      <c r="T59" s="19"/>
    </row>
    <row r="60" spans="1:20" ht="47.25">
      <c r="A60" s="83" t="s">
        <v>97</v>
      </c>
      <c r="B60" s="72" t="s">
        <v>26</v>
      </c>
      <c r="C60" s="56" t="s">
        <v>98</v>
      </c>
      <c r="D60" s="57">
        <f>2341.1+4898.5</f>
        <v>7239.6</v>
      </c>
      <c r="E60" s="58">
        <f t="shared" si="35"/>
        <v>7239.6</v>
      </c>
      <c r="F60" s="60">
        <f t="shared" si="35"/>
        <v>7239.6</v>
      </c>
      <c r="G60" s="60">
        <f t="shared" si="35"/>
        <v>7239.6</v>
      </c>
      <c r="H60" s="60">
        <f t="shared" si="35"/>
        <v>7239.6</v>
      </c>
      <c r="I60" s="60">
        <f t="shared" si="34"/>
        <v>7239.6</v>
      </c>
      <c r="J60" s="60">
        <f t="shared" si="34"/>
        <v>7239.6</v>
      </c>
      <c r="K60" s="60">
        <f t="shared" si="28"/>
        <v>7239.6</v>
      </c>
      <c r="L60" s="60">
        <f t="shared" si="29"/>
        <v>7239.6</v>
      </c>
      <c r="M60" s="61">
        <f>('[1]Бюдж роспись КБ'!K67+'[1]Бюдж роспись КБ'!K72)/1000</f>
        <v>1702.3108999999999</v>
      </c>
      <c r="N60" s="61">
        <f t="shared" si="2"/>
        <v>23.513880601138183</v>
      </c>
      <c r="O60" s="61">
        <v>1702.3108999999999</v>
      </c>
      <c r="P60" s="61">
        <f t="shared" si="36"/>
        <v>0</v>
      </c>
      <c r="Q60" s="61">
        <f t="shared" si="24"/>
        <v>5537.2891</v>
      </c>
      <c r="R60" s="62">
        <f>2341.1+4200</f>
        <v>6541.1</v>
      </c>
      <c r="S60" s="62">
        <f t="shared" si="31"/>
        <v>-698.5</v>
      </c>
      <c r="T60" s="19"/>
    </row>
    <row r="61" spans="1:20" ht="47.25">
      <c r="A61" s="77" t="s">
        <v>99</v>
      </c>
      <c r="B61" s="47" t="s">
        <v>26</v>
      </c>
      <c r="C61" s="56" t="s">
        <v>100</v>
      </c>
      <c r="D61" s="57">
        <v>5099.7</v>
      </c>
      <c r="E61" s="58">
        <f t="shared" si="35"/>
        <v>5099.7</v>
      </c>
      <c r="F61" s="60">
        <f t="shared" si="35"/>
        <v>5099.7</v>
      </c>
      <c r="G61" s="60">
        <f t="shared" si="35"/>
        <v>5099.7</v>
      </c>
      <c r="H61" s="60">
        <f t="shared" si="35"/>
        <v>5099.7</v>
      </c>
      <c r="I61" s="60">
        <f t="shared" si="34"/>
        <v>5099.7</v>
      </c>
      <c r="J61" s="60">
        <f t="shared" si="34"/>
        <v>5099.7</v>
      </c>
      <c r="K61" s="60">
        <f t="shared" si="28"/>
        <v>5099.7</v>
      </c>
      <c r="L61" s="60">
        <f t="shared" si="29"/>
        <v>5099.7</v>
      </c>
      <c r="M61" s="61">
        <f>('[1]Бюдж роспись КБ'!K73+'[1]Бюдж роспись КБ'!K74)/1000</f>
        <v>0</v>
      </c>
      <c r="N61" s="61">
        <f t="shared" si="2"/>
        <v>0</v>
      </c>
      <c r="O61" s="61"/>
      <c r="P61" s="61">
        <f t="shared" si="36"/>
        <v>0</v>
      </c>
      <c r="Q61" s="61">
        <f t="shared" si="24"/>
        <v>5099.7</v>
      </c>
      <c r="R61" s="62">
        <v>5099.7</v>
      </c>
      <c r="S61" s="62">
        <f t="shared" si="31"/>
        <v>0</v>
      </c>
      <c r="T61" s="19"/>
    </row>
    <row r="62" spans="1:20" ht="48" customHeight="1">
      <c r="A62" s="77" t="s">
        <v>101</v>
      </c>
      <c r="B62" s="47" t="s">
        <v>26</v>
      </c>
      <c r="C62" s="56" t="s">
        <v>102</v>
      </c>
      <c r="D62" s="57">
        <v>5004.1000000000004</v>
      </c>
      <c r="E62" s="58">
        <f t="shared" si="35"/>
        <v>5004.1000000000004</v>
      </c>
      <c r="F62" s="60">
        <f t="shared" si="35"/>
        <v>5004.1000000000004</v>
      </c>
      <c r="G62" s="60">
        <f t="shared" si="35"/>
        <v>5004.1000000000004</v>
      </c>
      <c r="H62" s="60">
        <f t="shared" si="35"/>
        <v>5004.1000000000004</v>
      </c>
      <c r="I62" s="60">
        <f t="shared" si="34"/>
        <v>5004.1000000000004</v>
      </c>
      <c r="J62" s="60">
        <f t="shared" si="34"/>
        <v>5004.1000000000004</v>
      </c>
      <c r="K62" s="60">
        <f t="shared" si="28"/>
        <v>5004.1000000000004</v>
      </c>
      <c r="L62" s="60">
        <f t="shared" si="29"/>
        <v>5004.1000000000004</v>
      </c>
      <c r="M62" s="61">
        <f>'[1]Бюдж роспись КБ'!K75/1000</f>
        <v>0</v>
      </c>
      <c r="N62" s="61">
        <f t="shared" si="2"/>
        <v>0</v>
      </c>
      <c r="O62" s="61"/>
      <c r="P62" s="61">
        <f t="shared" si="36"/>
        <v>0</v>
      </c>
      <c r="Q62" s="61">
        <f t="shared" si="24"/>
        <v>5004.1000000000004</v>
      </c>
      <c r="R62" s="65">
        <v>6652.2</v>
      </c>
      <c r="S62" s="62">
        <f t="shared" si="31"/>
        <v>1648.0999999999995</v>
      </c>
      <c r="T62" s="78" t="s">
        <v>103</v>
      </c>
    </row>
    <row r="63" spans="1:20" ht="19.5" customHeight="1">
      <c r="A63" s="75" t="s">
        <v>104</v>
      </c>
      <c r="B63" s="64" t="s">
        <v>26</v>
      </c>
      <c r="C63" s="56" t="s">
        <v>105</v>
      </c>
      <c r="D63" s="57">
        <v>108000</v>
      </c>
      <c r="E63" s="58">
        <f t="shared" si="35"/>
        <v>108000</v>
      </c>
      <c r="F63" s="59">
        <f>E63-66518.3</f>
        <v>41481.699999999997</v>
      </c>
      <c r="G63" s="60">
        <f t="shared" si="35"/>
        <v>41481.699999999997</v>
      </c>
      <c r="H63" s="60">
        <f t="shared" si="35"/>
        <v>41481.699999999997</v>
      </c>
      <c r="I63" s="60">
        <f t="shared" si="35"/>
        <v>41481.699999999997</v>
      </c>
      <c r="J63" s="60">
        <f t="shared" si="35"/>
        <v>41481.699999999997</v>
      </c>
      <c r="K63" s="60">
        <f t="shared" si="28"/>
        <v>41481.699999999997</v>
      </c>
      <c r="L63" s="60">
        <f t="shared" si="29"/>
        <v>41481.699999999997</v>
      </c>
      <c r="M63" s="61">
        <f>'[1]Бюдж роспись КБ'!K76/1000</f>
        <v>41481.69</v>
      </c>
      <c r="N63" s="61">
        <f t="shared" si="2"/>
        <v>99.999975892984153</v>
      </c>
      <c r="O63" s="61">
        <v>41481.69</v>
      </c>
      <c r="P63" s="61">
        <f t="shared" si="36"/>
        <v>0</v>
      </c>
      <c r="Q63" s="61">
        <f t="shared" si="24"/>
        <v>9.9999999947613105E-3</v>
      </c>
      <c r="R63" s="62">
        <f t="shared" si="30"/>
        <v>41481.699999999997</v>
      </c>
      <c r="S63" s="62">
        <f t="shared" si="31"/>
        <v>0</v>
      </c>
      <c r="T63" s="19"/>
    </row>
    <row r="64" spans="1:20">
      <c r="A64" s="77" t="s">
        <v>106</v>
      </c>
      <c r="B64" s="47" t="s">
        <v>24</v>
      </c>
      <c r="C64" s="56" t="s">
        <v>107</v>
      </c>
      <c r="D64" s="57"/>
      <c r="E64" s="58">
        <f t="shared" ref="E64:J74" si="39">D64</f>
        <v>0</v>
      </c>
      <c r="F64" s="60">
        <f t="shared" si="39"/>
        <v>0</v>
      </c>
      <c r="G64" s="60">
        <f t="shared" si="39"/>
        <v>0</v>
      </c>
      <c r="H64" s="60">
        <f t="shared" si="39"/>
        <v>0</v>
      </c>
      <c r="I64" s="60">
        <f t="shared" si="39"/>
        <v>0</v>
      </c>
      <c r="J64" s="60">
        <f t="shared" si="39"/>
        <v>0</v>
      </c>
      <c r="K64" s="60">
        <f t="shared" si="28"/>
        <v>0</v>
      </c>
      <c r="L64" s="60">
        <f t="shared" si="29"/>
        <v>0</v>
      </c>
      <c r="M64" s="61"/>
      <c r="N64" s="61"/>
      <c r="O64" s="61"/>
      <c r="P64" s="61">
        <f t="shared" si="36"/>
        <v>0</v>
      </c>
      <c r="Q64" s="61">
        <f t="shared" si="24"/>
        <v>0</v>
      </c>
      <c r="R64" s="62">
        <f t="shared" si="30"/>
        <v>0</v>
      </c>
      <c r="S64" s="62">
        <f t="shared" si="31"/>
        <v>0</v>
      </c>
      <c r="T64" s="19"/>
    </row>
    <row r="65" spans="1:20">
      <c r="A65" s="40" t="s">
        <v>25</v>
      </c>
      <c r="B65" s="47" t="s">
        <v>26</v>
      </c>
      <c r="C65" s="56" t="s">
        <v>107</v>
      </c>
      <c r="D65" s="57">
        <v>15000</v>
      </c>
      <c r="E65" s="58">
        <f t="shared" si="39"/>
        <v>15000</v>
      </c>
      <c r="F65" s="60">
        <f t="shared" si="39"/>
        <v>15000</v>
      </c>
      <c r="G65" s="60">
        <f t="shared" si="39"/>
        <v>15000</v>
      </c>
      <c r="H65" s="60">
        <f t="shared" si="39"/>
        <v>15000</v>
      </c>
      <c r="I65" s="60">
        <f t="shared" si="39"/>
        <v>15000</v>
      </c>
      <c r="J65" s="60">
        <f t="shared" si="39"/>
        <v>15000</v>
      </c>
      <c r="K65" s="60">
        <f t="shared" si="28"/>
        <v>15000</v>
      </c>
      <c r="L65" s="60">
        <f t="shared" si="29"/>
        <v>15000</v>
      </c>
      <c r="M65" s="61">
        <f>'[1]Бюдж роспись КБ'!K77/1000</f>
        <v>5539.8102500000005</v>
      </c>
      <c r="N65" s="61">
        <f t="shared" si="2"/>
        <v>36.932068333333333</v>
      </c>
      <c r="O65" s="61">
        <v>5539.8102500000005</v>
      </c>
      <c r="P65" s="61">
        <f t="shared" si="36"/>
        <v>0</v>
      </c>
      <c r="Q65" s="61">
        <f t="shared" si="24"/>
        <v>9460.1897499999995</v>
      </c>
      <c r="R65" s="62">
        <v>5539.8</v>
      </c>
      <c r="S65" s="62">
        <f>R65-J65</f>
        <v>-9460.2000000000007</v>
      </c>
      <c r="T65" s="19"/>
    </row>
    <row r="66" spans="1:20">
      <c r="A66" s="40" t="s">
        <v>27</v>
      </c>
      <c r="B66" s="47" t="s">
        <v>28</v>
      </c>
      <c r="C66" s="56" t="s">
        <v>107</v>
      </c>
      <c r="D66" s="57">
        <v>45000</v>
      </c>
      <c r="E66" s="58">
        <f t="shared" si="39"/>
        <v>45000</v>
      </c>
      <c r="F66" s="60">
        <f t="shared" si="39"/>
        <v>45000</v>
      </c>
      <c r="G66" s="60">
        <f t="shared" si="39"/>
        <v>45000</v>
      </c>
      <c r="H66" s="60">
        <f t="shared" si="39"/>
        <v>45000</v>
      </c>
      <c r="I66" s="60">
        <f t="shared" si="39"/>
        <v>45000</v>
      </c>
      <c r="J66" s="60">
        <f t="shared" si="39"/>
        <v>45000</v>
      </c>
      <c r="K66" s="60">
        <f t="shared" si="28"/>
        <v>45000</v>
      </c>
      <c r="L66" s="60">
        <f t="shared" si="29"/>
        <v>45000</v>
      </c>
      <c r="M66" s="61">
        <f>'[1]Бюдж роспись КБ'!K78/1000</f>
        <v>16619.43075</v>
      </c>
      <c r="N66" s="61">
        <f t="shared" si="2"/>
        <v>36.932068333333333</v>
      </c>
      <c r="O66" s="61">
        <v>16619.43075</v>
      </c>
      <c r="P66" s="61">
        <f t="shared" si="36"/>
        <v>0</v>
      </c>
      <c r="Q66" s="61">
        <f t="shared" si="24"/>
        <v>28380.56925</v>
      </c>
      <c r="R66" s="62">
        <v>16619.400000000001</v>
      </c>
      <c r="S66" s="62">
        <f>R66-J66</f>
        <v>-28380.6</v>
      </c>
      <c r="T66" s="19"/>
    </row>
    <row r="67" spans="1:20" ht="31.5">
      <c r="A67" s="77" t="s">
        <v>108</v>
      </c>
      <c r="B67" s="47" t="s">
        <v>24</v>
      </c>
      <c r="C67" s="56" t="s">
        <v>109</v>
      </c>
      <c r="D67" s="57"/>
      <c r="E67" s="58">
        <f t="shared" si="39"/>
        <v>0</v>
      </c>
      <c r="F67" s="60">
        <f t="shared" si="39"/>
        <v>0</v>
      </c>
      <c r="G67" s="60">
        <f t="shared" si="39"/>
        <v>0</v>
      </c>
      <c r="H67" s="60">
        <f t="shared" si="39"/>
        <v>0</v>
      </c>
      <c r="I67" s="60">
        <f t="shared" si="39"/>
        <v>0</v>
      </c>
      <c r="J67" s="60">
        <f t="shared" si="39"/>
        <v>0</v>
      </c>
      <c r="K67" s="60">
        <f t="shared" si="28"/>
        <v>0</v>
      </c>
      <c r="L67" s="60">
        <f t="shared" si="29"/>
        <v>0</v>
      </c>
      <c r="M67" s="61"/>
      <c r="N67" s="61"/>
      <c r="O67" s="61"/>
      <c r="P67" s="61">
        <f t="shared" si="36"/>
        <v>0</v>
      </c>
      <c r="Q67" s="61">
        <f t="shared" si="24"/>
        <v>0</v>
      </c>
      <c r="R67" s="62">
        <f t="shared" si="30"/>
        <v>0</v>
      </c>
      <c r="S67" s="62">
        <f t="shared" si="31"/>
        <v>0</v>
      </c>
      <c r="T67" s="19"/>
    </row>
    <row r="68" spans="1:20" ht="19.5" customHeight="1">
      <c r="A68" s="40" t="s">
        <v>25</v>
      </c>
      <c r="B68" s="47" t="s">
        <v>26</v>
      </c>
      <c r="C68" s="56" t="s">
        <v>109</v>
      </c>
      <c r="D68" s="57">
        <v>34372</v>
      </c>
      <c r="E68" s="58">
        <f t="shared" si="39"/>
        <v>34372</v>
      </c>
      <c r="F68" s="59">
        <f>E68-11092.2</f>
        <v>23279.8</v>
      </c>
      <c r="G68" s="60">
        <f t="shared" si="39"/>
        <v>23279.8</v>
      </c>
      <c r="H68" s="60">
        <f t="shared" si="39"/>
        <v>23279.8</v>
      </c>
      <c r="I68" s="60">
        <f t="shared" si="39"/>
        <v>23279.8</v>
      </c>
      <c r="J68" s="60">
        <f t="shared" si="39"/>
        <v>23279.8</v>
      </c>
      <c r="K68" s="60">
        <f t="shared" si="28"/>
        <v>23279.8</v>
      </c>
      <c r="L68" s="60">
        <f t="shared" si="29"/>
        <v>23279.8</v>
      </c>
      <c r="M68" s="61">
        <f>'[1]Бюдж роспись КБ'!K80/1000</f>
        <v>17500</v>
      </c>
      <c r="N68" s="61">
        <f t="shared" si="2"/>
        <v>75.172467117415096</v>
      </c>
      <c r="O68" s="61">
        <v>17500</v>
      </c>
      <c r="P68" s="61">
        <f>M68-O68</f>
        <v>0</v>
      </c>
      <c r="Q68" s="61">
        <f t="shared" si="24"/>
        <v>5779.7999999999993</v>
      </c>
      <c r="R68" s="62">
        <v>17500</v>
      </c>
      <c r="S68" s="62">
        <f>R68-J68</f>
        <v>-5779.7999999999993</v>
      </c>
      <c r="T68" s="19"/>
    </row>
    <row r="69" spans="1:20" ht="19.5" customHeight="1">
      <c r="A69" s="40" t="s">
        <v>27</v>
      </c>
      <c r="B69" s="47" t="s">
        <v>28</v>
      </c>
      <c r="C69" s="56" t="s">
        <v>109</v>
      </c>
      <c r="D69" s="57">
        <v>69839.3</v>
      </c>
      <c r="E69" s="58">
        <f t="shared" si="39"/>
        <v>69839.3</v>
      </c>
      <c r="F69" s="60">
        <f t="shared" si="39"/>
        <v>69839.3</v>
      </c>
      <c r="G69" s="60">
        <f t="shared" si="39"/>
        <v>69839.3</v>
      </c>
      <c r="H69" s="60">
        <f t="shared" si="39"/>
        <v>69839.3</v>
      </c>
      <c r="I69" s="60">
        <f t="shared" si="39"/>
        <v>69839.3</v>
      </c>
      <c r="J69" s="60">
        <f t="shared" si="39"/>
        <v>69839.3</v>
      </c>
      <c r="K69" s="60">
        <f t="shared" si="28"/>
        <v>69839.3</v>
      </c>
      <c r="L69" s="60">
        <f t="shared" si="29"/>
        <v>69839.3</v>
      </c>
      <c r="M69" s="61">
        <f>'[1]Бюдж роспись КБ'!K81/1000</f>
        <v>52500</v>
      </c>
      <c r="N69" s="61">
        <f t="shared" si="2"/>
        <v>75.172574753756123</v>
      </c>
      <c r="O69" s="61">
        <v>52500</v>
      </c>
      <c r="P69" s="61">
        <f>M69-O69</f>
        <v>0</v>
      </c>
      <c r="Q69" s="61">
        <f t="shared" si="24"/>
        <v>17339.300000000003</v>
      </c>
      <c r="R69" s="62">
        <v>52500</v>
      </c>
      <c r="S69" s="62">
        <f>R69-J69</f>
        <v>-17339.300000000003</v>
      </c>
      <c r="T69" s="19"/>
    </row>
    <row r="70" spans="1:20" s="50" customFormat="1" ht="47.25">
      <c r="A70" s="46" t="s">
        <v>110</v>
      </c>
      <c r="B70" s="51" t="s">
        <v>26</v>
      </c>
      <c r="C70" s="84">
        <f>SUM(C72:C74)</f>
        <v>0</v>
      </c>
      <c r="D70" s="48">
        <f>D71</f>
        <v>127905.9</v>
      </c>
      <c r="E70" s="48">
        <f t="shared" ref="E70:S70" si="40">E71</f>
        <v>127905.9</v>
      </c>
      <c r="F70" s="48">
        <f t="shared" si="40"/>
        <v>127905.9</v>
      </c>
      <c r="G70" s="48">
        <f t="shared" si="40"/>
        <v>127905.9</v>
      </c>
      <c r="H70" s="48">
        <f t="shared" si="40"/>
        <v>127905.9</v>
      </c>
      <c r="I70" s="48">
        <f t="shared" si="40"/>
        <v>127905.9</v>
      </c>
      <c r="J70" s="48">
        <f t="shared" si="40"/>
        <v>127905.9</v>
      </c>
      <c r="K70" s="48">
        <f t="shared" si="40"/>
        <v>127905.9</v>
      </c>
      <c r="L70" s="48">
        <f t="shared" si="40"/>
        <v>127905.9</v>
      </c>
      <c r="M70" s="48">
        <f>M71</f>
        <v>43744.655070000001</v>
      </c>
      <c r="N70" s="48">
        <f t="shared" si="2"/>
        <v>34.200654598419625</v>
      </c>
      <c r="O70" s="48">
        <f t="shared" si="40"/>
        <v>38405.876640000002</v>
      </c>
      <c r="P70" s="48">
        <f t="shared" si="40"/>
        <v>5338.7784300000003</v>
      </c>
      <c r="Q70" s="48">
        <f t="shared" si="40"/>
        <v>84161.244929999986</v>
      </c>
      <c r="R70" s="48">
        <f t="shared" si="40"/>
        <v>127905.9</v>
      </c>
      <c r="S70" s="48">
        <f t="shared" si="40"/>
        <v>0</v>
      </c>
      <c r="T70" s="49"/>
    </row>
    <row r="71" spans="1:20" s="50" customFormat="1">
      <c r="A71" s="40" t="s">
        <v>25</v>
      </c>
      <c r="B71" s="51" t="s">
        <v>26</v>
      </c>
      <c r="C71" s="85"/>
      <c r="D71" s="35">
        <f>SUMIF($B$72:$B$74,"=01",D72:D74)</f>
        <v>127905.9</v>
      </c>
      <c r="E71" s="35">
        <f t="shared" ref="E71:S71" si="41">SUMIF($B$72:$B$74,"=01",E72:E74)</f>
        <v>127905.9</v>
      </c>
      <c r="F71" s="35">
        <f t="shared" si="41"/>
        <v>127905.9</v>
      </c>
      <c r="G71" s="35">
        <f t="shared" si="41"/>
        <v>127905.9</v>
      </c>
      <c r="H71" s="35">
        <f t="shared" si="41"/>
        <v>127905.9</v>
      </c>
      <c r="I71" s="35">
        <f t="shared" si="41"/>
        <v>127905.9</v>
      </c>
      <c r="J71" s="35">
        <f t="shared" si="41"/>
        <v>127905.9</v>
      </c>
      <c r="K71" s="35">
        <f t="shared" si="41"/>
        <v>127905.9</v>
      </c>
      <c r="L71" s="35">
        <f t="shared" si="41"/>
        <v>127905.9</v>
      </c>
      <c r="M71" s="35">
        <f>SUMIF($B$72:$B$74,"=01",M72:M74)</f>
        <v>43744.655070000001</v>
      </c>
      <c r="N71" s="35">
        <f t="shared" si="2"/>
        <v>34.200654598419625</v>
      </c>
      <c r="O71" s="35">
        <f t="shared" si="41"/>
        <v>38405.876640000002</v>
      </c>
      <c r="P71" s="35">
        <f t="shared" si="41"/>
        <v>5338.7784300000003</v>
      </c>
      <c r="Q71" s="35">
        <f t="shared" si="41"/>
        <v>84161.244929999986</v>
      </c>
      <c r="R71" s="35">
        <f t="shared" si="41"/>
        <v>127905.9</v>
      </c>
      <c r="S71" s="35">
        <f t="shared" si="41"/>
        <v>0</v>
      </c>
      <c r="T71" s="49"/>
    </row>
    <row r="72" spans="1:20" ht="77.25">
      <c r="A72" s="75" t="s">
        <v>111</v>
      </c>
      <c r="B72" s="64" t="s">
        <v>26</v>
      </c>
      <c r="C72" s="56" t="s">
        <v>112</v>
      </c>
      <c r="D72" s="57">
        <v>66000</v>
      </c>
      <c r="E72" s="58">
        <f t="shared" si="39"/>
        <v>66000</v>
      </c>
      <c r="F72" s="60">
        <f t="shared" si="39"/>
        <v>66000</v>
      </c>
      <c r="G72" s="60">
        <f t="shared" si="39"/>
        <v>66000</v>
      </c>
      <c r="H72" s="60">
        <f t="shared" si="39"/>
        <v>66000</v>
      </c>
      <c r="I72" s="60">
        <f t="shared" si="39"/>
        <v>66000</v>
      </c>
      <c r="J72" s="60">
        <f t="shared" si="39"/>
        <v>66000</v>
      </c>
      <c r="K72" s="60">
        <f t="shared" ref="K72:K74" si="42">G72</f>
        <v>66000</v>
      </c>
      <c r="L72" s="60">
        <f t="shared" si="29"/>
        <v>66000</v>
      </c>
      <c r="M72" s="61">
        <v>33608.392690000001</v>
      </c>
      <c r="N72" s="61">
        <f t="shared" si="2"/>
        <v>50.921807106060598</v>
      </c>
      <c r="O72" s="61">
        <v>28336.51426</v>
      </c>
      <c r="P72" s="61">
        <f>M72-O72</f>
        <v>5271.8784300000007</v>
      </c>
      <c r="Q72" s="61">
        <f>J72-M72</f>
        <v>32391.607309999999</v>
      </c>
      <c r="R72" s="62">
        <f t="shared" si="30"/>
        <v>66000</v>
      </c>
      <c r="S72" s="62">
        <f t="shared" si="31"/>
        <v>0</v>
      </c>
      <c r="T72" s="19"/>
    </row>
    <row r="73" spans="1:20" ht="63">
      <c r="A73" s="86" t="s">
        <v>113</v>
      </c>
      <c r="B73" s="64" t="s">
        <v>26</v>
      </c>
      <c r="C73" s="56" t="s">
        <v>114</v>
      </c>
      <c r="D73" s="57">
        <v>23126.799999999999</v>
      </c>
      <c r="E73" s="58">
        <f t="shared" si="39"/>
        <v>23126.799999999999</v>
      </c>
      <c r="F73" s="60">
        <f t="shared" si="39"/>
        <v>23126.799999999999</v>
      </c>
      <c r="G73" s="60">
        <f t="shared" si="39"/>
        <v>23126.799999999999</v>
      </c>
      <c r="H73" s="60">
        <f t="shared" si="39"/>
        <v>23126.799999999999</v>
      </c>
      <c r="I73" s="60">
        <f t="shared" si="39"/>
        <v>23126.799999999999</v>
      </c>
      <c r="J73" s="60">
        <f t="shared" si="39"/>
        <v>23126.799999999999</v>
      </c>
      <c r="K73" s="60">
        <f t="shared" si="42"/>
        <v>23126.799999999999</v>
      </c>
      <c r="L73" s="60">
        <f t="shared" si="29"/>
        <v>23126.799999999999</v>
      </c>
      <c r="M73" s="61"/>
      <c r="N73" s="61">
        <f t="shared" si="2"/>
        <v>0</v>
      </c>
      <c r="O73" s="61">
        <f>M73</f>
        <v>0</v>
      </c>
      <c r="P73" s="61">
        <f>M73-O73</f>
        <v>0</v>
      </c>
      <c r="Q73" s="61">
        <f>J73-M73</f>
        <v>23126.799999999999</v>
      </c>
      <c r="R73" s="62">
        <f t="shared" si="30"/>
        <v>23126.799999999999</v>
      </c>
      <c r="S73" s="62">
        <f t="shared" si="31"/>
        <v>0</v>
      </c>
      <c r="T73" s="19"/>
    </row>
    <row r="74" spans="1:20" ht="63">
      <c r="A74" s="86" t="s">
        <v>115</v>
      </c>
      <c r="B74" s="64" t="s">
        <v>26</v>
      </c>
      <c r="C74" s="56" t="s">
        <v>116</v>
      </c>
      <c r="D74" s="57">
        <v>38779.1</v>
      </c>
      <c r="E74" s="58">
        <f t="shared" si="39"/>
        <v>38779.1</v>
      </c>
      <c r="F74" s="60">
        <f t="shared" si="39"/>
        <v>38779.1</v>
      </c>
      <c r="G74" s="60">
        <f t="shared" si="39"/>
        <v>38779.1</v>
      </c>
      <c r="H74" s="60">
        <f t="shared" si="39"/>
        <v>38779.1</v>
      </c>
      <c r="I74" s="60">
        <f t="shared" si="39"/>
        <v>38779.1</v>
      </c>
      <c r="J74" s="60">
        <f t="shared" si="39"/>
        <v>38779.1</v>
      </c>
      <c r="K74" s="60">
        <f t="shared" si="42"/>
        <v>38779.1</v>
      </c>
      <c r="L74" s="60">
        <f t="shared" si="29"/>
        <v>38779.1</v>
      </c>
      <c r="M74" s="61">
        <v>10136.26238</v>
      </c>
      <c r="N74" s="61">
        <f t="shared" si="2"/>
        <v>26.138467318736126</v>
      </c>
      <c r="O74" s="61">
        <v>10069.36238</v>
      </c>
      <c r="P74" s="61">
        <f>M74-O74</f>
        <v>66.899999999999636</v>
      </c>
      <c r="Q74" s="61">
        <f>J74-M74</f>
        <v>28642.837619999998</v>
      </c>
      <c r="R74" s="62">
        <f t="shared" si="30"/>
        <v>38779.1</v>
      </c>
      <c r="S74" s="62">
        <f t="shared" si="31"/>
        <v>0</v>
      </c>
      <c r="T74" s="19"/>
    </row>
    <row r="75" spans="1:20" s="50" customFormat="1" ht="31.5">
      <c r="A75" s="46" t="s">
        <v>117</v>
      </c>
      <c r="B75" s="47" t="s">
        <v>24</v>
      </c>
      <c r="C75" s="84">
        <f>SUM(C78:C95)</f>
        <v>0</v>
      </c>
      <c r="D75" s="48">
        <f>D76+D77</f>
        <v>706759</v>
      </c>
      <c r="E75" s="48">
        <f t="shared" ref="E75:S75" si="43">E76+E77</f>
        <v>944502</v>
      </c>
      <c r="F75" s="48">
        <f t="shared" si="43"/>
        <v>768769.3</v>
      </c>
      <c r="G75" s="48">
        <f t="shared" si="43"/>
        <v>768769.3</v>
      </c>
      <c r="H75" s="48">
        <f t="shared" si="43"/>
        <v>768769.3</v>
      </c>
      <c r="I75" s="48">
        <f t="shared" si="43"/>
        <v>768769.3</v>
      </c>
      <c r="J75" s="48">
        <f t="shared" si="43"/>
        <v>768769.3</v>
      </c>
      <c r="K75" s="48">
        <f t="shared" si="43"/>
        <v>768769.3</v>
      </c>
      <c r="L75" s="48">
        <f t="shared" si="43"/>
        <v>768769.3</v>
      </c>
      <c r="M75" s="48">
        <f t="shared" si="43"/>
        <v>373517.92569</v>
      </c>
      <c r="N75" s="48">
        <f t="shared" si="2"/>
        <v>48.586477853629169</v>
      </c>
      <c r="O75" s="48">
        <f t="shared" si="43"/>
        <v>348279.41044000001</v>
      </c>
      <c r="P75" s="48">
        <f>SUM(P78:P95)</f>
        <v>25238.515250000004</v>
      </c>
      <c r="Q75" s="48">
        <f t="shared" si="43"/>
        <v>395251.3743100001</v>
      </c>
      <c r="R75" s="48">
        <f t="shared" si="43"/>
        <v>676597.99499000004</v>
      </c>
      <c r="S75" s="48">
        <f t="shared" si="43"/>
        <v>-92171.30501000004</v>
      </c>
      <c r="T75" s="49"/>
    </row>
    <row r="76" spans="1:20" s="50" customFormat="1">
      <c r="A76" s="40" t="s">
        <v>25</v>
      </c>
      <c r="B76" s="51" t="s">
        <v>26</v>
      </c>
      <c r="C76" s="84"/>
      <c r="D76" s="35">
        <f t="shared" ref="D76:M76" si="44">SUMIF($B$78:$B$95,"=01",D78:D95)</f>
        <v>683086.7</v>
      </c>
      <c r="E76" s="35">
        <f t="shared" si="44"/>
        <v>683086.7</v>
      </c>
      <c r="F76" s="35">
        <f t="shared" si="44"/>
        <v>507354</v>
      </c>
      <c r="G76" s="35">
        <f t="shared" si="44"/>
        <v>507354.00000000006</v>
      </c>
      <c r="H76" s="87">
        <f t="shared" si="44"/>
        <v>507354.00000000006</v>
      </c>
      <c r="I76" s="35">
        <f t="shared" si="44"/>
        <v>507354.00000000006</v>
      </c>
      <c r="J76" s="35">
        <f t="shared" si="44"/>
        <v>507354.00000000006</v>
      </c>
      <c r="K76" s="35">
        <f t="shared" si="44"/>
        <v>507354.00000000006</v>
      </c>
      <c r="L76" s="35">
        <f t="shared" si="44"/>
        <v>507354.00000000006</v>
      </c>
      <c r="M76" s="35">
        <f t="shared" si="44"/>
        <v>179007.32569</v>
      </c>
      <c r="N76" s="35">
        <f t="shared" si="2"/>
        <v>35.282529691300354</v>
      </c>
      <c r="O76" s="35">
        <f>SUMIF($B$78:$B$95,"=01",O78:O95)</f>
        <v>170128.90698</v>
      </c>
      <c r="P76" s="35">
        <f>SUMIF($B$78:$B$95,"=01",P78:P95)</f>
        <v>8878.4187099999945</v>
      </c>
      <c r="Q76" s="35">
        <f>SUMIF($B$78:$B$95,"=01",Q78:Q95)</f>
        <v>328346.67431000009</v>
      </c>
      <c r="R76" s="35">
        <f t="shared" ref="R76:S76" si="45">SUMIF($B$78:$B$95,"=01",R78:R95)</f>
        <v>415182.69498999999</v>
      </c>
      <c r="S76" s="35">
        <f t="shared" si="45"/>
        <v>-92171.30501000004</v>
      </c>
      <c r="T76" s="49"/>
    </row>
    <row r="77" spans="1:20" s="50" customFormat="1">
      <c r="A77" s="40" t="s">
        <v>27</v>
      </c>
      <c r="B77" s="51" t="s">
        <v>28</v>
      </c>
      <c r="C77" s="84"/>
      <c r="D77" s="35">
        <f t="shared" ref="D77:M77" si="46">SUMIF($B$78:$B$95,"=02",D78:D95)</f>
        <v>23672.3</v>
      </c>
      <c r="E77" s="35">
        <f t="shared" si="46"/>
        <v>261415.3</v>
      </c>
      <c r="F77" s="35">
        <f t="shared" si="46"/>
        <v>261415.3</v>
      </c>
      <c r="G77" s="35">
        <f t="shared" si="46"/>
        <v>261415.3</v>
      </c>
      <c r="H77" s="87">
        <f t="shared" si="46"/>
        <v>261415.3</v>
      </c>
      <c r="I77" s="35">
        <f t="shared" si="46"/>
        <v>261415.3</v>
      </c>
      <c r="J77" s="35">
        <f t="shared" si="46"/>
        <v>261415.3</v>
      </c>
      <c r="K77" s="35">
        <f t="shared" si="46"/>
        <v>261415.3</v>
      </c>
      <c r="L77" s="35">
        <f t="shared" si="46"/>
        <v>261415.3</v>
      </c>
      <c r="M77" s="35">
        <f t="shared" si="46"/>
        <v>194510.6</v>
      </c>
      <c r="N77" s="35">
        <f t="shared" si="2"/>
        <v>74.406739008772632</v>
      </c>
      <c r="O77" s="35">
        <f>SUMIF($B$78:$B$95,"=02",O78:O95)</f>
        <v>178150.50345999998</v>
      </c>
      <c r="P77" s="35">
        <f>SUMIF($B$78:$B$95,"=02",P78:P95)</f>
        <v>16360.096540000011</v>
      </c>
      <c r="Q77" s="35">
        <f>SUMIF($B$78:$B$95,"=02",Q78:Q95)</f>
        <v>66904.7</v>
      </c>
      <c r="R77" s="35">
        <f t="shared" ref="R77:S77" si="47">SUMIF($B$78:$B$95,"=02",R78:R95)</f>
        <v>261415.3</v>
      </c>
      <c r="S77" s="35">
        <f t="shared" si="47"/>
        <v>0</v>
      </c>
      <c r="T77" s="49"/>
    </row>
    <row r="78" spans="1:20" ht="31.5">
      <c r="A78" s="86" t="s">
        <v>118</v>
      </c>
      <c r="B78" s="88" t="s">
        <v>26</v>
      </c>
      <c r="C78" s="80" t="s">
        <v>119</v>
      </c>
      <c r="D78" s="57"/>
      <c r="E78" s="61"/>
      <c r="F78" s="59">
        <v>25100</v>
      </c>
      <c r="G78" s="60">
        <f>F78</f>
        <v>25100</v>
      </c>
      <c r="H78" s="60">
        <f>G78</f>
        <v>25100</v>
      </c>
      <c r="I78" s="60">
        <f t="shared" ref="I78:J91" si="48">H78</f>
        <v>25100</v>
      </c>
      <c r="J78" s="60">
        <f t="shared" si="48"/>
        <v>25100</v>
      </c>
      <c r="K78" s="60">
        <f t="shared" ref="K78:K95" si="49">G78</f>
        <v>25100</v>
      </c>
      <c r="L78" s="60">
        <f>K78</f>
        <v>25100</v>
      </c>
      <c r="M78" s="61">
        <f>'[1]Бюдж роспись КБ'!K84/1000</f>
        <v>0</v>
      </c>
      <c r="N78" s="61"/>
      <c r="O78" s="61"/>
      <c r="P78" s="70">
        <f t="shared" ref="P78:P83" si="50">M78-O78</f>
        <v>0</v>
      </c>
      <c r="Q78" s="61">
        <f t="shared" ref="Q78:Q95" si="51">J78-M78</f>
        <v>25100</v>
      </c>
      <c r="R78" s="62">
        <f t="shared" si="30"/>
        <v>25100</v>
      </c>
      <c r="S78" s="62">
        <f t="shared" si="31"/>
        <v>0</v>
      </c>
      <c r="T78" s="19"/>
    </row>
    <row r="79" spans="1:20" ht="31.5">
      <c r="A79" s="89" t="s">
        <v>120</v>
      </c>
      <c r="B79" s="90" t="s">
        <v>26</v>
      </c>
      <c r="C79" s="80" t="s">
        <v>121</v>
      </c>
      <c r="D79" s="57">
        <v>45394.1</v>
      </c>
      <c r="E79" s="58">
        <f>D79</f>
        <v>45394.1</v>
      </c>
      <c r="F79" s="60">
        <f>E79</f>
        <v>45394.1</v>
      </c>
      <c r="G79" s="60">
        <f>F79</f>
        <v>45394.1</v>
      </c>
      <c r="H79" s="60">
        <f>G79</f>
        <v>45394.1</v>
      </c>
      <c r="I79" s="60">
        <f t="shared" si="48"/>
        <v>45394.1</v>
      </c>
      <c r="J79" s="60">
        <f t="shared" si="48"/>
        <v>45394.1</v>
      </c>
      <c r="K79" s="60">
        <f t="shared" si="49"/>
        <v>45394.1</v>
      </c>
      <c r="L79" s="60">
        <f>K79</f>
        <v>45394.1</v>
      </c>
      <c r="M79" s="61">
        <f>('[1]Бюдж роспись КБ'!K85+'[1]Бюдж роспись КБ'!K86)/1000</f>
        <v>31594.259220000004</v>
      </c>
      <c r="N79" s="61">
        <f>M79/L79*100</f>
        <v>69.599924263285331</v>
      </c>
      <c r="O79" s="61">
        <f>179.02652+31415.2327</f>
        <v>31594.25922</v>
      </c>
      <c r="P79" s="70">
        <f t="shared" si="50"/>
        <v>0</v>
      </c>
      <c r="Q79" s="61">
        <f t="shared" si="51"/>
        <v>13799.840779999995</v>
      </c>
      <c r="R79" s="62">
        <v>66542</v>
      </c>
      <c r="S79" s="62">
        <f>R79-J79</f>
        <v>21147.9</v>
      </c>
      <c r="T79" s="67" t="s">
        <v>122</v>
      </c>
    </row>
    <row r="80" spans="1:20" ht="141.75">
      <c r="A80" s="63" t="s">
        <v>123</v>
      </c>
      <c r="B80" s="64" t="s">
        <v>26</v>
      </c>
      <c r="C80" s="56" t="s">
        <v>124</v>
      </c>
      <c r="D80" s="57">
        <v>182945.2</v>
      </c>
      <c r="E80" s="58">
        <f t="shared" ref="E80:H88" si="52">D80</f>
        <v>182945.2</v>
      </c>
      <c r="F80" s="59">
        <f>E80-99812.7</f>
        <v>83132.500000000015</v>
      </c>
      <c r="G80" s="60">
        <f t="shared" si="52"/>
        <v>83132.500000000015</v>
      </c>
      <c r="H80" s="60">
        <f t="shared" si="52"/>
        <v>83132.500000000015</v>
      </c>
      <c r="I80" s="60">
        <f t="shared" si="48"/>
        <v>83132.500000000015</v>
      </c>
      <c r="J80" s="60">
        <f t="shared" si="48"/>
        <v>83132.500000000015</v>
      </c>
      <c r="K80" s="60">
        <f t="shared" si="49"/>
        <v>83132.500000000015</v>
      </c>
      <c r="L80" s="60">
        <f t="shared" si="29"/>
        <v>83132.500000000015</v>
      </c>
      <c r="M80" s="61">
        <f>'[1]Бюдж роспись КБ'!K87/1000</f>
        <v>0</v>
      </c>
      <c r="N80" s="61">
        <f t="shared" si="2"/>
        <v>0</v>
      </c>
      <c r="O80" s="61"/>
      <c r="P80" s="70">
        <f t="shared" si="50"/>
        <v>0</v>
      </c>
      <c r="Q80" s="61">
        <f t="shared" si="51"/>
        <v>83132.500000000015</v>
      </c>
      <c r="R80" s="65">
        <v>45334.194990000004</v>
      </c>
      <c r="S80" s="62">
        <f>R80-J80</f>
        <v>-37798.305010000011</v>
      </c>
      <c r="T80" s="67" t="s">
        <v>125</v>
      </c>
    </row>
    <row r="81" spans="1:20" ht="31.5">
      <c r="A81" s="91" t="s">
        <v>126</v>
      </c>
      <c r="B81" s="92" t="s">
        <v>26</v>
      </c>
      <c r="C81" s="56" t="s">
        <v>127</v>
      </c>
      <c r="D81" s="57">
        <v>151020</v>
      </c>
      <c r="E81" s="58">
        <f t="shared" si="52"/>
        <v>151020</v>
      </c>
      <c r="F81" s="59">
        <f>E81-101020</f>
        <v>50000</v>
      </c>
      <c r="G81" s="60">
        <f t="shared" si="52"/>
        <v>50000</v>
      </c>
      <c r="H81" s="60">
        <f t="shared" si="52"/>
        <v>50000</v>
      </c>
      <c r="I81" s="60">
        <f t="shared" si="48"/>
        <v>50000</v>
      </c>
      <c r="J81" s="60">
        <f t="shared" si="48"/>
        <v>50000</v>
      </c>
      <c r="K81" s="60">
        <f t="shared" si="49"/>
        <v>50000</v>
      </c>
      <c r="L81" s="60">
        <f t="shared" si="29"/>
        <v>50000</v>
      </c>
      <c r="M81" s="61">
        <f>'[1]Бюдж роспись КБ'!K88/1000</f>
        <v>0</v>
      </c>
      <c r="N81" s="61">
        <f t="shared" si="2"/>
        <v>0</v>
      </c>
      <c r="O81" s="61"/>
      <c r="P81" s="70">
        <f t="shared" si="50"/>
        <v>0</v>
      </c>
      <c r="Q81" s="61">
        <f t="shared" si="51"/>
        <v>50000</v>
      </c>
      <c r="R81" s="65">
        <f t="shared" si="30"/>
        <v>50000</v>
      </c>
      <c r="S81" s="62">
        <f t="shared" si="31"/>
        <v>0</v>
      </c>
      <c r="T81" s="19"/>
    </row>
    <row r="82" spans="1:20" ht="47.25">
      <c r="A82" s="89" t="s">
        <v>128</v>
      </c>
      <c r="B82" s="90" t="s">
        <v>26</v>
      </c>
      <c r="C82" s="80" t="s">
        <v>129</v>
      </c>
      <c r="D82" s="57">
        <v>36873.300000000003</v>
      </c>
      <c r="E82" s="58">
        <f t="shared" si="52"/>
        <v>36873.300000000003</v>
      </c>
      <c r="F82" s="60">
        <f t="shared" si="52"/>
        <v>36873.300000000003</v>
      </c>
      <c r="G82" s="60">
        <f t="shared" si="52"/>
        <v>36873.300000000003</v>
      </c>
      <c r="H82" s="60">
        <f t="shared" si="52"/>
        <v>36873.300000000003</v>
      </c>
      <c r="I82" s="60">
        <f>H82</f>
        <v>36873.300000000003</v>
      </c>
      <c r="J82" s="60">
        <f>I82</f>
        <v>36873.300000000003</v>
      </c>
      <c r="K82" s="60">
        <f>G82</f>
        <v>36873.300000000003</v>
      </c>
      <c r="L82" s="60">
        <f>K82</f>
        <v>36873.300000000003</v>
      </c>
      <c r="M82" s="61">
        <f>('[1]Бюдж роспись КБ'!K90+'[1]Бюдж роспись КБ'!K89)/1000</f>
        <v>3425.0535599999998</v>
      </c>
      <c r="N82" s="61">
        <f t="shared" ref="N82:N122" si="53">M82/L82*100</f>
        <v>9.2887090659094778</v>
      </c>
      <c r="O82" s="61"/>
      <c r="P82" s="70">
        <f t="shared" si="50"/>
        <v>3425.0535599999998</v>
      </c>
      <c r="Q82" s="61">
        <f t="shared" si="51"/>
        <v>33448.246440000003</v>
      </c>
      <c r="R82" s="62">
        <f t="shared" si="30"/>
        <v>36873.300000000003</v>
      </c>
      <c r="S82" s="62">
        <f t="shared" si="31"/>
        <v>0</v>
      </c>
      <c r="T82" s="19"/>
    </row>
    <row r="83" spans="1:20" ht="63">
      <c r="A83" s="93" t="s">
        <v>130</v>
      </c>
      <c r="B83" s="47" t="s">
        <v>24</v>
      </c>
      <c r="C83" s="80" t="s">
        <v>131</v>
      </c>
      <c r="D83" s="94"/>
      <c r="E83" s="58">
        <f t="shared" si="52"/>
        <v>0</v>
      </c>
      <c r="F83" s="60">
        <f t="shared" si="52"/>
        <v>0</v>
      </c>
      <c r="G83" s="60">
        <f t="shared" si="52"/>
        <v>0</v>
      </c>
      <c r="H83" s="60">
        <f t="shared" si="52"/>
        <v>0</v>
      </c>
      <c r="I83" s="60">
        <f t="shared" si="48"/>
        <v>0</v>
      </c>
      <c r="J83" s="60">
        <f t="shared" si="48"/>
        <v>0</v>
      </c>
      <c r="K83" s="60">
        <f t="shared" si="49"/>
        <v>0</v>
      </c>
      <c r="L83" s="60">
        <f t="shared" si="29"/>
        <v>0</v>
      </c>
      <c r="M83" s="61"/>
      <c r="N83" s="61"/>
      <c r="O83" s="61"/>
      <c r="P83" s="70">
        <f t="shared" si="50"/>
        <v>0</v>
      </c>
      <c r="Q83" s="61">
        <f t="shared" si="51"/>
        <v>0</v>
      </c>
      <c r="R83" s="62">
        <f t="shared" si="30"/>
        <v>0</v>
      </c>
      <c r="S83" s="62">
        <f t="shared" si="31"/>
        <v>0</v>
      </c>
      <c r="T83" s="19"/>
    </row>
    <row r="84" spans="1:20">
      <c r="A84" s="95" t="s">
        <v>25</v>
      </c>
      <c r="B84" s="47" t="s">
        <v>26</v>
      </c>
      <c r="C84" s="80" t="s">
        <v>131</v>
      </c>
      <c r="D84" s="57">
        <v>7890.8</v>
      </c>
      <c r="E84" s="58">
        <f t="shared" si="52"/>
        <v>7890.8</v>
      </c>
      <c r="F84" s="60">
        <f t="shared" si="52"/>
        <v>7890.8</v>
      </c>
      <c r="G84" s="60">
        <f t="shared" si="52"/>
        <v>7890.8</v>
      </c>
      <c r="H84" s="60">
        <f t="shared" si="52"/>
        <v>7890.8</v>
      </c>
      <c r="I84" s="60">
        <f t="shared" si="48"/>
        <v>7890.8</v>
      </c>
      <c r="J84" s="60">
        <f t="shared" si="48"/>
        <v>7890.8</v>
      </c>
      <c r="K84" s="60">
        <f t="shared" si="49"/>
        <v>7890.8</v>
      </c>
      <c r="L84" s="60">
        <f t="shared" si="29"/>
        <v>7890.8</v>
      </c>
      <c r="M84" s="61">
        <f>'[1]Бюдж роспись КБ'!K91/1000</f>
        <v>4043.5333300000002</v>
      </c>
      <c r="N84" s="61">
        <f t="shared" si="53"/>
        <v>51.243642342981701</v>
      </c>
      <c r="O84" s="61">
        <v>4043.5008400000002</v>
      </c>
      <c r="P84" s="70">
        <f>M84-O84</f>
        <v>3.2490000000052532E-2</v>
      </c>
      <c r="Q84" s="61">
        <f t="shared" si="51"/>
        <v>3847.26667</v>
      </c>
      <c r="R84" s="62">
        <f t="shared" si="30"/>
        <v>7890.8</v>
      </c>
      <c r="S84" s="62">
        <f t="shared" si="31"/>
        <v>0</v>
      </c>
      <c r="T84" s="19"/>
    </row>
    <row r="85" spans="1:20">
      <c r="A85" s="95" t="s">
        <v>27</v>
      </c>
      <c r="B85" s="47" t="s">
        <v>28</v>
      </c>
      <c r="C85" s="80" t="s">
        <v>131</v>
      </c>
      <c r="D85" s="57">
        <v>23672.3</v>
      </c>
      <c r="E85" s="58">
        <f t="shared" si="52"/>
        <v>23672.3</v>
      </c>
      <c r="F85" s="60">
        <f t="shared" si="52"/>
        <v>23672.3</v>
      </c>
      <c r="G85" s="60">
        <f t="shared" si="52"/>
        <v>23672.3</v>
      </c>
      <c r="H85" s="60">
        <f t="shared" si="52"/>
        <v>23672.3</v>
      </c>
      <c r="I85" s="60">
        <f t="shared" si="48"/>
        <v>23672.3</v>
      </c>
      <c r="J85" s="60">
        <f t="shared" si="48"/>
        <v>23672.3</v>
      </c>
      <c r="K85" s="60">
        <f t="shared" si="49"/>
        <v>23672.3</v>
      </c>
      <c r="L85" s="60">
        <f t="shared" si="29"/>
        <v>23672.3</v>
      </c>
      <c r="M85" s="61">
        <f>'[1]Бюдж роспись КБ'!K92/1000</f>
        <v>12130.6</v>
      </c>
      <c r="N85" s="61">
        <f t="shared" si="53"/>
        <v>51.243858856131432</v>
      </c>
      <c r="O85" s="61">
        <v>12130.50252</v>
      </c>
      <c r="P85" s="70">
        <f>M85-O85</f>
        <v>9.7480000000359723E-2</v>
      </c>
      <c r="Q85" s="61">
        <f t="shared" si="51"/>
        <v>11541.699999999999</v>
      </c>
      <c r="R85" s="62">
        <f t="shared" si="30"/>
        <v>23672.3</v>
      </c>
      <c r="S85" s="62">
        <f t="shared" si="31"/>
        <v>0</v>
      </c>
      <c r="T85" s="19"/>
    </row>
    <row r="86" spans="1:20" ht="47.25">
      <c r="A86" s="86" t="s">
        <v>132</v>
      </c>
      <c r="B86" s="47" t="s">
        <v>24</v>
      </c>
      <c r="C86" s="56" t="s">
        <v>133</v>
      </c>
      <c r="D86" s="57"/>
      <c r="E86" s="58">
        <f t="shared" si="52"/>
        <v>0</v>
      </c>
      <c r="F86" s="60">
        <f t="shared" si="52"/>
        <v>0</v>
      </c>
      <c r="G86" s="60">
        <f t="shared" si="52"/>
        <v>0</v>
      </c>
      <c r="H86" s="60">
        <f t="shared" si="52"/>
        <v>0</v>
      </c>
      <c r="I86" s="60">
        <f t="shared" si="48"/>
        <v>0</v>
      </c>
      <c r="J86" s="60">
        <f t="shared" si="48"/>
        <v>0</v>
      </c>
      <c r="K86" s="60">
        <f t="shared" si="49"/>
        <v>0</v>
      </c>
      <c r="L86" s="60">
        <f t="shared" si="29"/>
        <v>0</v>
      </c>
      <c r="M86" s="61"/>
      <c r="N86" s="61"/>
      <c r="O86" s="61"/>
      <c r="P86" s="70">
        <f>M86-O86</f>
        <v>0</v>
      </c>
      <c r="Q86" s="61">
        <f t="shared" si="51"/>
        <v>0</v>
      </c>
      <c r="R86" s="62">
        <f t="shared" si="30"/>
        <v>0</v>
      </c>
      <c r="S86" s="62">
        <f t="shared" si="31"/>
        <v>0</v>
      </c>
      <c r="T86" s="19"/>
    </row>
    <row r="87" spans="1:20">
      <c r="A87" s="40" t="s">
        <v>25</v>
      </c>
      <c r="B87" s="47" t="s">
        <v>26</v>
      </c>
      <c r="C87" s="56" t="s">
        <v>133</v>
      </c>
      <c r="D87" s="57">
        <v>37603.300000000003</v>
      </c>
      <c r="E87" s="58">
        <f t="shared" si="52"/>
        <v>37603.300000000003</v>
      </c>
      <c r="F87" s="60">
        <f t="shared" si="52"/>
        <v>37603.300000000003</v>
      </c>
      <c r="G87" s="60">
        <f>F87-32853.3</f>
        <v>4750</v>
      </c>
      <c r="H87" s="60">
        <f t="shared" si="52"/>
        <v>4750</v>
      </c>
      <c r="I87" s="60">
        <f t="shared" si="48"/>
        <v>4750</v>
      </c>
      <c r="J87" s="60">
        <f t="shared" si="48"/>
        <v>4750</v>
      </c>
      <c r="K87" s="60">
        <f t="shared" si="49"/>
        <v>4750</v>
      </c>
      <c r="L87" s="60">
        <f t="shared" si="29"/>
        <v>4750</v>
      </c>
      <c r="M87" s="61">
        <f>('[1]Бюдж роспись КБ'!K93+'[1]Бюдж роспись КБ'!K94+'[1]Бюдж роспись КБ'!K95+'[1]Бюдж роспись КБ'!K96)/1000</f>
        <v>581.95424000000003</v>
      </c>
      <c r="N87" s="61">
        <f t="shared" si="53"/>
        <v>12.251668210526317</v>
      </c>
      <c r="O87" s="61"/>
      <c r="P87" s="61">
        <f t="shared" ref="P87:P89" si="54">M87-O87</f>
        <v>581.95424000000003</v>
      </c>
      <c r="Q87" s="61">
        <f t="shared" si="51"/>
        <v>4168.04576</v>
      </c>
      <c r="R87" s="62">
        <v>4750</v>
      </c>
      <c r="S87" s="62"/>
      <c r="T87" s="19"/>
    </row>
    <row r="88" spans="1:20">
      <c r="A88" s="40" t="s">
        <v>27</v>
      </c>
      <c r="B88" s="47" t="s">
        <v>28</v>
      </c>
      <c r="C88" s="56" t="s">
        <v>133</v>
      </c>
      <c r="D88" s="57"/>
      <c r="E88" s="96">
        <v>71723</v>
      </c>
      <c r="F88" s="59">
        <f>E88-50000</f>
        <v>21723</v>
      </c>
      <c r="G88" s="60">
        <f>F88-7473</f>
        <v>14250</v>
      </c>
      <c r="H88" s="60">
        <f t="shared" si="52"/>
        <v>14250</v>
      </c>
      <c r="I88" s="60">
        <f t="shared" si="48"/>
        <v>14250</v>
      </c>
      <c r="J88" s="60">
        <f t="shared" si="48"/>
        <v>14250</v>
      </c>
      <c r="K88" s="60">
        <f t="shared" si="49"/>
        <v>14250</v>
      </c>
      <c r="L88" s="60">
        <f t="shared" si="29"/>
        <v>14250</v>
      </c>
      <c r="M88" s="61">
        <f>('[1]Бюдж роспись КБ'!K97+'[1]Бюдж роспись КБ'!K98)/1000</f>
        <v>1745.8634099999999</v>
      </c>
      <c r="N88" s="61">
        <f t="shared" si="53"/>
        <v>12.251673052631579</v>
      </c>
      <c r="O88" s="61"/>
      <c r="P88" s="61">
        <f t="shared" si="54"/>
        <v>1745.8634099999999</v>
      </c>
      <c r="Q88" s="61">
        <f t="shared" si="51"/>
        <v>12504.13659</v>
      </c>
      <c r="R88" s="62">
        <v>14250</v>
      </c>
      <c r="S88" s="62"/>
      <c r="T88" s="19"/>
    </row>
    <row r="89" spans="1:20" ht="63">
      <c r="A89" s="86" t="s">
        <v>134</v>
      </c>
      <c r="B89" s="47" t="s">
        <v>24</v>
      </c>
      <c r="C89" s="56" t="s">
        <v>135</v>
      </c>
      <c r="D89" s="57"/>
      <c r="E89" s="58">
        <f t="shared" ref="E89:H91" si="55">D89</f>
        <v>0</v>
      </c>
      <c r="F89" s="60">
        <f t="shared" si="55"/>
        <v>0</v>
      </c>
      <c r="G89" s="60">
        <f t="shared" si="55"/>
        <v>0</v>
      </c>
      <c r="H89" s="60">
        <f t="shared" si="55"/>
        <v>0</v>
      </c>
      <c r="I89" s="60">
        <f t="shared" si="48"/>
        <v>0</v>
      </c>
      <c r="J89" s="60">
        <f t="shared" si="48"/>
        <v>0</v>
      </c>
      <c r="K89" s="60">
        <f t="shared" si="49"/>
        <v>0</v>
      </c>
      <c r="L89" s="60">
        <f t="shared" si="29"/>
        <v>0</v>
      </c>
      <c r="M89" s="61"/>
      <c r="N89" s="61"/>
      <c r="O89" s="61"/>
      <c r="P89" s="61">
        <f t="shared" si="54"/>
        <v>0</v>
      </c>
      <c r="Q89" s="61">
        <f t="shared" si="51"/>
        <v>0</v>
      </c>
      <c r="R89" s="62">
        <f t="shared" si="30"/>
        <v>0</v>
      </c>
      <c r="S89" s="62">
        <f t="shared" si="31"/>
        <v>0</v>
      </c>
      <c r="T89" s="19"/>
    </row>
    <row r="90" spans="1:20">
      <c r="A90" s="40" t="s">
        <v>25</v>
      </c>
      <c r="B90" s="47" t="s">
        <v>26</v>
      </c>
      <c r="C90" s="56" t="s">
        <v>135</v>
      </c>
      <c r="D90" s="57">
        <v>221360</v>
      </c>
      <c r="E90" s="58">
        <f t="shared" si="55"/>
        <v>221360</v>
      </c>
      <c r="F90" s="59">
        <f>E90-204627.9</f>
        <v>16732.100000000006</v>
      </c>
      <c r="G90" s="60">
        <f t="shared" si="55"/>
        <v>16732.100000000006</v>
      </c>
      <c r="H90" s="60">
        <f t="shared" si="55"/>
        <v>16732.100000000006</v>
      </c>
      <c r="I90" s="60">
        <f t="shared" si="48"/>
        <v>16732.100000000006</v>
      </c>
      <c r="J90" s="60">
        <f t="shared" si="48"/>
        <v>16732.100000000006</v>
      </c>
      <c r="K90" s="60">
        <f t="shared" si="49"/>
        <v>16732.100000000006</v>
      </c>
      <c r="L90" s="60">
        <f t="shared" si="29"/>
        <v>16732.100000000006</v>
      </c>
      <c r="M90" s="61">
        <f>('[1]Бюдж роспись КБ'!K99+'[1]Бюдж роспись КБ'!K100)/1000</f>
        <v>16732.133679999999</v>
      </c>
      <c r="N90" s="61">
        <f t="shared" si="53"/>
        <v>100.00020128973645</v>
      </c>
      <c r="O90" s="61">
        <f>12427.1274+4305.00628</f>
        <v>16732.133679999999</v>
      </c>
      <c r="P90" s="61">
        <f>M90-O90</f>
        <v>0</v>
      </c>
      <c r="Q90" s="61">
        <f t="shared" si="51"/>
        <v>-3.3679999993182719E-2</v>
      </c>
      <c r="R90" s="62">
        <f t="shared" si="30"/>
        <v>16732.100000000006</v>
      </c>
      <c r="S90" s="62">
        <f t="shared" si="31"/>
        <v>0</v>
      </c>
      <c r="T90" s="19"/>
    </row>
    <row r="91" spans="1:20">
      <c r="A91" s="40" t="s">
        <v>27</v>
      </c>
      <c r="B91" s="47" t="s">
        <v>28</v>
      </c>
      <c r="C91" s="56" t="s">
        <v>135</v>
      </c>
      <c r="D91" s="57"/>
      <c r="E91" s="96">
        <v>166020</v>
      </c>
      <c r="F91" s="59">
        <f>E91-153105</f>
        <v>12915</v>
      </c>
      <c r="G91" s="60">
        <f t="shared" si="55"/>
        <v>12915</v>
      </c>
      <c r="H91" s="60">
        <f t="shared" si="55"/>
        <v>12915</v>
      </c>
      <c r="I91" s="60">
        <f t="shared" si="48"/>
        <v>12915</v>
      </c>
      <c r="J91" s="60">
        <f t="shared" si="48"/>
        <v>12915</v>
      </c>
      <c r="K91" s="60">
        <f t="shared" si="49"/>
        <v>12915</v>
      </c>
      <c r="L91" s="60">
        <f t="shared" si="29"/>
        <v>12915</v>
      </c>
      <c r="M91" s="97">
        <f>'[1]Бюдж роспись КБ'!K101/1000</f>
        <v>12915.018810000001</v>
      </c>
      <c r="N91" s="61">
        <f t="shared" si="53"/>
        <v>100.00014564459931</v>
      </c>
      <c r="O91" s="61">
        <v>12915.01881</v>
      </c>
      <c r="P91" s="61">
        <f t="shared" ref="P91:P94" si="56">M91-O91</f>
        <v>0</v>
      </c>
      <c r="Q91" s="61">
        <f t="shared" si="51"/>
        <v>-1.8810000001394656E-2</v>
      </c>
      <c r="R91" s="62">
        <f t="shared" si="30"/>
        <v>12915</v>
      </c>
      <c r="S91" s="62">
        <f t="shared" si="31"/>
        <v>0</v>
      </c>
      <c r="T91" s="19"/>
    </row>
    <row r="92" spans="1:20" ht="47.25">
      <c r="A92" s="86" t="s">
        <v>136</v>
      </c>
      <c r="B92" s="47" t="s">
        <v>24</v>
      </c>
      <c r="C92" s="56" t="s">
        <v>137</v>
      </c>
      <c r="D92" s="57"/>
      <c r="E92" s="58"/>
      <c r="F92" s="60"/>
      <c r="G92" s="60"/>
      <c r="H92" s="60"/>
      <c r="I92" s="60"/>
      <c r="J92" s="60"/>
      <c r="K92" s="60"/>
      <c r="L92" s="60"/>
      <c r="M92" s="61"/>
      <c r="N92" s="61"/>
      <c r="O92" s="61"/>
      <c r="P92" s="61">
        <f t="shared" si="56"/>
        <v>0</v>
      </c>
      <c r="Q92" s="61">
        <f t="shared" si="51"/>
        <v>0</v>
      </c>
      <c r="R92" s="62">
        <f t="shared" ref="R92" si="57">F92</f>
        <v>0</v>
      </c>
      <c r="S92" s="62">
        <f t="shared" ref="S92" si="58">R92-F92</f>
        <v>0</v>
      </c>
      <c r="T92" s="135" t="s">
        <v>138</v>
      </c>
    </row>
    <row r="93" spans="1:20" ht="25.5" customHeight="1">
      <c r="A93" s="40" t="s">
        <v>25</v>
      </c>
      <c r="B93" s="47" t="s">
        <v>26</v>
      </c>
      <c r="C93" s="56" t="s">
        <v>137</v>
      </c>
      <c r="D93" s="57"/>
      <c r="E93" s="58"/>
      <c r="F93" s="59">
        <v>204627.9</v>
      </c>
      <c r="G93" s="60">
        <f>F93+32853.3</f>
        <v>237481.2</v>
      </c>
      <c r="H93" s="60">
        <f t="shared" ref="H93:J95" si="59">G93</f>
        <v>237481.2</v>
      </c>
      <c r="I93" s="60">
        <f t="shared" si="59"/>
        <v>237481.2</v>
      </c>
      <c r="J93" s="60">
        <f t="shared" si="59"/>
        <v>237481.2</v>
      </c>
      <c r="K93" s="60">
        <f t="shared" ref="K93:K94" si="60">G93</f>
        <v>237481.2</v>
      </c>
      <c r="L93" s="60">
        <f t="shared" ref="L93:L94" si="61">K93</f>
        <v>237481.2</v>
      </c>
      <c r="M93" s="61">
        <f>('[1]Бюдж роспись КБ'!K102+'[1]Бюдж роспись КБ'!K103)/1000</f>
        <v>122630.39165999999</v>
      </c>
      <c r="N93" s="61">
        <f t="shared" si="53"/>
        <v>51.63793667035538</v>
      </c>
      <c r="O93" s="61">
        <v>117759.01324</v>
      </c>
      <c r="P93" s="61">
        <f t="shared" si="56"/>
        <v>4871.3784199999936</v>
      </c>
      <c r="Q93" s="61">
        <f t="shared" si="51"/>
        <v>114850.80834000002</v>
      </c>
      <c r="R93" s="62">
        <v>161960.29999999999</v>
      </c>
      <c r="S93" s="62">
        <f>R93-J93</f>
        <v>-75520.900000000023</v>
      </c>
      <c r="T93" s="135"/>
    </row>
    <row r="94" spans="1:20" ht="21" customHeight="1">
      <c r="A94" s="40" t="s">
        <v>27</v>
      </c>
      <c r="B94" s="47" t="s">
        <v>28</v>
      </c>
      <c r="C94" s="56" t="s">
        <v>137</v>
      </c>
      <c r="D94" s="57"/>
      <c r="E94" s="58"/>
      <c r="F94" s="59">
        <v>203105</v>
      </c>
      <c r="G94" s="60">
        <f>F94+7473</f>
        <v>210578</v>
      </c>
      <c r="H94" s="60">
        <f t="shared" si="59"/>
        <v>210578</v>
      </c>
      <c r="I94" s="60">
        <f t="shared" si="59"/>
        <v>210578</v>
      </c>
      <c r="J94" s="60">
        <f t="shared" si="59"/>
        <v>210578</v>
      </c>
      <c r="K94" s="60">
        <f t="shared" si="60"/>
        <v>210578</v>
      </c>
      <c r="L94" s="60">
        <f t="shared" si="61"/>
        <v>210578</v>
      </c>
      <c r="M94" s="97">
        <f>'[1]Бюдж роспись КБ'!K104/1000</f>
        <v>167719.11778</v>
      </c>
      <c r="N94" s="61">
        <f t="shared" si="53"/>
        <v>79.647027600224135</v>
      </c>
      <c r="O94" s="61">
        <v>153104.98212999999</v>
      </c>
      <c r="P94" s="61">
        <f t="shared" si="56"/>
        <v>14614.135650000011</v>
      </c>
      <c r="Q94" s="61">
        <f t="shared" si="51"/>
        <v>42858.88222</v>
      </c>
      <c r="R94" s="62">
        <v>210578</v>
      </c>
      <c r="S94" s="62"/>
      <c r="T94" s="135"/>
    </row>
    <row r="95" spans="1:20" ht="132" hidden="1">
      <c r="A95" s="98" t="s">
        <v>139</v>
      </c>
      <c r="B95" s="92" t="s">
        <v>46</v>
      </c>
      <c r="C95" s="61" t="s">
        <v>140</v>
      </c>
      <c r="D95" s="57">
        <v>39750</v>
      </c>
      <c r="E95" s="58">
        <f t="shared" ref="E95:H95" si="62">D95</f>
        <v>39750</v>
      </c>
      <c r="F95" s="59">
        <f>E95-39750</f>
        <v>0</v>
      </c>
      <c r="G95" s="60">
        <f t="shared" si="62"/>
        <v>0</v>
      </c>
      <c r="H95" s="60">
        <f t="shared" si="62"/>
        <v>0</v>
      </c>
      <c r="I95" s="60">
        <f t="shared" si="59"/>
        <v>0</v>
      </c>
      <c r="J95" s="60">
        <f t="shared" si="59"/>
        <v>0</v>
      </c>
      <c r="K95" s="60">
        <f t="shared" si="49"/>
        <v>0</v>
      </c>
      <c r="L95" s="60">
        <f t="shared" si="29"/>
        <v>0</v>
      </c>
      <c r="M95" s="61"/>
      <c r="N95" s="61"/>
      <c r="O95" s="69"/>
      <c r="P95" s="61">
        <f>M95-O95</f>
        <v>0</v>
      </c>
      <c r="Q95" s="61">
        <f t="shared" si="51"/>
        <v>0</v>
      </c>
      <c r="R95" s="19"/>
      <c r="S95" s="19"/>
      <c r="T95" s="19"/>
    </row>
    <row r="96" spans="1:20" s="50" customFormat="1" ht="31.5">
      <c r="A96" s="46" t="s">
        <v>141</v>
      </c>
      <c r="B96" s="51" t="s">
        <v>26</v>
      </c>
      <c r="C96" s="84">
        <f>SUM(C98:C104)</f>
        <v>0</v>
      </c>
      <c r="D96" s="99">
        <f>D97</f>
        <v>627261.1</v>
      </c>
      <c r="E96" s="99">
        <f t="shared" ref="E96:S96" si="63">E97</f>
        <v>627261.1</v>
      </c>
      <c r="F96" s="99">
        <f t="shared" si="63"/>
        <v>534761.1</v>
      </c>
      <c r="G96" s="99">
        <f t="shared" si="63"/>
        <v>550240</v>
      </c>
      <c r="H96" s="99">
        <f t="shared" si="63"/>
        <v>550240</v>
      </c>
      <c r="I96" s="99">
        <f t="shared" si="63"/>
        <v>550240</v>
      </c>
      <c r="J96" s="99">
        <f t="shared" si="63"/>
        <v>550240</v>
      </c>
      <c r="K96" s="99">
        <f t="shared" si="63"/>
        <v>550240</v>
      </c>
      <c r="L96" s="99">
        <f t="shared" si="63"/>
        <v>550240</v>
      </c>
      <c r="M96" s="48">
        <f>M97</f>
        <v>342115.90522999997</v>
      </c>
      <c r="N96" s="48">
        <f t="shared" si="53"/>
        <v>62.175760619002617</v>
      </c>
      <c r="O96" s="48">
        <f t="shared" si="63"/>
        <v>330079.74355999997</v>
      </c>
      <c r="P96" s="48">
        <f t="shared" si="63"/>
        <v>12036.161670000001</v>
      </c>
      <c r="Q96" s="48">
        <f t="shared" si="63"/>
        <v>208124.09477</v>
      </c>
      <c r="R96" s="48">
        <f t="shared" si="63"/>
        <v>772147.5</v>
      </c>
      <c r="S96" s="48">
        <f t="shared" si="63"/>
        <v>221907.50000000003</v>
      </c>
      <c r="T96" s="49"/>
    </row>
    <row r="97" spans="1:20" s="50" customFormat="1">
      <c r="A97" s="40" t="s">
        <v>25</v>
      </c>
      <c r="B97" s="51" t="s">
        <v>26</v>
      </c>
      <c r="C97" s="85"/>
      <c r="D97" s="100">
        <f t="shared" ref="D97:M97" si="64">SUMIF($B$98:$B$104,"=01",D98:D104)</f>
        <v>627261.1</v>
      </c>
      <c r="E97" s="100">
        <f t="shared" si="64"/>
        <v>627261.1</v>
      </c>
      <c r="F97" s="100">
        <f t="shared" si="64"/>
        <v>534761.1</v>
      </c>
      <c r="G97" s="100">
        <f t="shared" si="64"/>
        <v>550240</v>
      </c>
      <c r="H97" s="100">
        <f t="shared" si="64"/>
        <v>550240</v>
      </c>
      <c r="I97" s="100">
        <f t="shared" si="64"/>
        <v>550240</v>
      </c>
      <c r="J97" s="100">
        <f t="shared" si="64"/>
        <v>550240</v>
      </c>
      <c r="K97" s="100">
        <f t="shared" si="64"/>
        <v>550240</v>
      </c>
      <c r="L97" s="100">
        <f t="shared" si="64"/>
        <v>550240</v>
      </c>
      <c r="M97" s="35">
        <f t="shared" si="64"/>
        <v>342115.90522999997</v>
      </c>
      <c r="N97" s="35">
        <f t="shared" si="53"/>
        <v>62.175760619002617</v>
      </c>
      <c r="O97" s="35">
        <f>SUMIF($B$98:$B$104,"=01",O98:O104)</f>
        <v>330079.74355999997</v>
      </c>
      <c r="P97" s="35">
        <f>SUMIF($B$98:$B$104,"=01",P98:P104)</f>
        <v>12036.161670000001</v>
      </c>
      <c r="Q97" s="35">
        <f>SUMIF($B$98:$B$104,"=01",Q98:Q104)</f>
        <v>208124.09477</v>
      </c>
      <c r="R97" s="35">
        <f t="shared" ref="R97:S97" si="65">SUMIF($B$98:$B$104,"=01",R98:R104)</f>
        <v>772147.5</v>
      </c>
      <c r="S97" s="35">
        <f t="shared" si="65"/>
        <v>221907.50000000003</v>
      </c>
      <c r="T97" s="49"/>
    </row>
    <row r="98" spans="1:20" ht="63">
      <c r="A98" s="101" t="s">
        <v>142</v>
      </c>
      <c r="B98" s="102" t="s">
        <v>26</v>
      </c>
      <c r="C98" s="103" t="s">
        <v>143</v>
      </c>
      <c r="D98" s="57"/>
      <c r="E98" s="58"/>
      <c r="F98" s="59">
        <v>120027</v>
      </c>
      <c r="G98" s="60">
        <f>F98</f>
        <v>120027</v>
      </c>
      <c r="H98" s="60">
        <f>G98</f>
        <v>120027</v>
      </c>
      <c r="I98" s="60">
        <f t="shared" ref="I98:J104" si="66">H98</f>
        <v>120027</v>
      </c>
      <c r="J98" s="60">
        <f t="shared" si="66"/>
        <v>120027</v>
      </c>
      <c r="K98" s="60">
        <f t="shared" ref="K98:K104" si="67">G98</f>
        <v>120027</v>
      </c>
      <c r="L98" s="60">
        <f>K98</f>
        <v>120027</v>
      </c>
      <c r="M98" s="61">
        <f>'[1]Бюдж роспись КБ'!K112/1000</f>
        <v>56409.554029999999</v>
      </c>
      <c r="N98" s="61">
        <f t="shared" si="53"/>
        <v>46.997387279528773</v>
      </c>
      <c r="O98" s="61">
        <v>45082.642359999998</v>
      </c>
      <c r="P98" s="61">
        <f t="shared" ref="P98:P101" si="68">M98-O98</f>
        <v>11326.911670000001</v>
      </c>
      <c r="Q98" s="61">
        <f t="shared" ref="Q98:Q104" si="69">J98-M98</f>
        <v>63617.445970000001</v>
      </c>
      <c r="R98" s="62">
        <f t="shared" ref="R98:R121" si="70">F98</f>
        <v>120027</v>
      </c>
      <c r="S98" s="62">
        <f t="shared" ref="S98:S152" si="71">R98-F98</f>
        <v>0</v>
      </c>
      <c r="T98" s="19"/>
    </row>
    <row r="99" spans="1:20" ht="69" customHeight="1">
      <c r="A99" s="101" t="s">
        <v>144</v>
      </c>
      <c r="B99" s="104" t="s">
        <v>26</v>
      </c>
      <c r="C99" s="103" t="s">
        <v>145</v>
      </c>
      <c r="D99" s="57">
        <v>10000</v>
      </c>
      <c r="E99" s="58">
        <f>D99</f>
        <v>10000</v>
      </c>
      <c r="F99" s="60">
        <f>E99</f>
        <v>10000</v>
      </c>
      <c r="G99" s="60">
        <f>F99</f>
        <v>10000</v>
      </c>
      <c r="H99" s="60">
        <f>G99</f>
        <v>10000</v>
      </c>
      <c r="I99" s="60">
        <f t="shared" si="66"/>
        <v>10000</v>
      </c>
      <c r="J99" s="60">
        <f t="shared" si="66"/>
        <v>10000</v>
      </c>
      <c r="K99" s="60">
        <f t="shared" si="67"/>
        <v>10000</v>
      </c>
      <c r="L99" s="60">
        <f>K99</f>
        <v>10000</v>
      </c>
      <c r="M99" s="61"/>
      <c r="N99" s="61">
        <f t="shared" si="53"/>
        <v>0</v>
      </c>
      <c r="O99" s="61"/>
      <c r="P99" s="61">
        <f t="shared" si="68"/>
        <v>0</v>
      </c>
      <c r="Q99" s="61">
        <f t="shared" si="69"/>
        <v>10000</v>
      </c>
      <c r="R99" s="62">
        <f t="shared" si="70"/>
        <v>10000</v>
      </c>
      <c r="S99" s="62">
        <f t="shared" si="71"/>
        <v>0</v>
      </c>
      <c r="T99" s="19"/>
    </row>
    <row r="100" spans="1:20" ht="34.5" customHeight="1">
      <c r="A100" s="101" t="s">
        <v>146</v>
      </c>
      <c r="B100" s="105" t="s">
        <v>26</v>
      </c>
      <c r="C100" s="103" t="s">
        <v>147</v>
      </c>
      <c r="D100" s="57">
        <v>40036.300000000003</v>
      </c>
      <c r="E100" s="58">
        <f t="shared" ref="E100:H104" si="72">D100</f>
        <v>40036.300000000003</v>
      </c>
      <c r="F100" s="60">
        <f t="shared" si="72"/>
        <v>40036.300000000003</v>
      </c>
      <c r="G100" s="60">
        <f t="shared" si="72"/>
        <v>40036.300000000003</v>
      </c>
      <c r="H100" s="60">
        <f t="shared" si="72"/>
        <v>40036.300000000003</v>
      </c>
      <c r="I100" s="60">
        <f t="shared" si="66"/>
        <v>40036.300000000003</v>
      </c>
      <c r="J100" s="60">
        <f t="shared" si="66"/>
        <v>40036.300000000003</v>
      </c>
      <c r="K100" s="60">
        <f t="shared" si="67"/>
        <v>40036.300000000003</v>
      </c>
      <c r="L100" s="60">
        <f t="shared" ref="L100:L101" si="73">K100</f>
        <v>40036.300000000003</v>
      </c>
      <c r="M100" s="61">
        <f>('[1]Бюдж роспись КБ'!K114+'[1]Бюдж роспись КБ'!K115)/1000</f>
        <v>10614.645210000001</v>
      </c>
      <c r="N100" s="61">
        <f t="shared" si="53"/>
        <v>26.512552883258444</v>
      </c>
      <c r="O100" s="61">
        <v>9905.3952100000006</v>
      </c>
      <c r="P100" s="61">
        <f t="shared" si="68"/>
        <v>709.25</v>
      </c>
      <c r="Q100" s="61">
        <f t="shared" si="69"/>
        <v>29421.654790000001</v>
      </c>
      <c r="R100" s="62">
        <f t="shared" si="70"/>
        <v>40036.300000000003</v>
      </c>
      <c r="S100" s="62">
        <f t="shared" si="71"/>
        <v>0</v>
      </c>
      <c r="T100" s="19"/>
    </row>
    <row r="101" spans="1:20" ht="94.5">
      <c r="A101" s="101" t="s">
        <v>148</v>
      </c>
      <c r="B101" s="105" t="s">
        <v>26</v>
      </c>
      <c r="C101" s="103" t="s">
        <v>149</v>
      </c>
      <c r="D101" s="57">
        <v>27701</v>
      </c>
      <c r="E101" s="58">
        <f t="shared" si="72"/>
        <v>27701</v>
      </c>
      <c r="F101" s="60">
        <f t="shared" si="72"/>
        <v>27701</v>
      </c>
      <c r="G101" s="60">
        <f t="shared" si="72"/>
        <v>27701</v>
      </c>
      <c r="H101" s="60">
        <f t="shared" si="72"/>
        <v>27701</v>
      </c>
      <c r="I101" s="60">
        <f t="shared" si="66"/>
        <v>27701</v>
      </c>
      <c r="J101" s="60">
        <f t="shared" si="66"/>
        <v>27701</v>
      </c>
      <c r="K101" s="60">
        <f t="shared" si="67"/>
        <v>27701</v>
      </c>
      <c r="L101" s="60">
        <f t="shared" si="73"/>
        <v>27701</v>
      </c>
      <c r="M101" s="61"/>
      <c r="N101" s="61">
        <f t="shared" si="53"/>
        <v>0</v>
      </c>
      <c r="O101" s="61"/>
      <c r="P101" s="61">
        <f t="shared" si="68"/>
        <v>0</v>
      </c>
      <c r="Q101" s="61">
        <f t="shared" si="69"/>
        <v>27701</v>
      </c>
      <c r="R101" s="62">
        <f t="shared" si="70"/>
        <v>27701</v>
      </c>
      <c r="S101" s="62">
        <f t="shared" si="71"/>
        <v>0</v>
      </c>
      <c r="T101" s="19"/>
    </row>
    <row r="102" spans="1:20" ht="47.25">
      <c r="A102" s="106" t="s">
        <v>150</v>
      </c>
      <c r="B102" s="90" t="s">
        <v>26</v>
      </c>
      <c r="C102" s="80" t="s">
        <v>151</v>
      </c>
      <c r="D102" s="57">
        <v>439523.8</v>
      </c>
      <c r="E102" s="58">
        <f t="shared" si="72"/>
        <v>439523.8</v>
      </c>
      <c r="F102" s="59">
        <f>E102-170027</f>
        <v>269496.8</v>
      </c>
      <c r="G102" s="60">
        <f t="shared" si="72"/>
        <v>269496.8</v>
      </c>
      <c r="H102" s="60">
        <f t="shared" si="72"/>
        <v>269496.8</v>
      </c>
      <c r="I102" s="60">
        <f t="shared" si="66"/>
        <v>269496.8</v>
      </c>
      <c r="J102" s="60">
        <f t="shared" si="66"/>
        <v>269496.8</v>
      </c>
      <c r="K102" s="60">
        <f t="shared" si="67"/>
        <v>269496.8</v>
      </c>
      <c r="L102" s="60">
        <f t="shared" si="29"/>
        <v>269496.8</v>
      </c>
      <c r="M102" s="61">
        <f>'[1]Бюдж роспись КБ'!K117/1000</f>
        <v>225091.70598999999</v>
      </c>
      <c r="N102" s="61">
        <f t="shared" si="53"/>
        <v>83.52296056576553</v>
      </c>
      <c r="O102" s="61">
        <v>225091.70598999999</v>
      </c>
      <c r="P102" s="61">
        <f>M102-O102</f>
        <v>0</v>
      </c>
      <c r="Q102" s="61">
        <f t="shared" si="69"/>
        <v>44405.094010000001</v>
      </c>
      <c r="R102" s="62">
        <v>399733.2</v>
      </c>
      <c r="S102" s="66">
        <f>R102-J102</f>
        <v>130236.40000000002</v>
      </c>
      <c r="T102" s="107" t="s">
        <v>152</v>
      </c>
    </row>
    <row r="103" spans="1:20" ht="65.25" customHeight="1">
      <c r="A103" s="106" t="s">
        <v>153</v>
      </c>
      <c r="B103" s="105" t="s">
        <v>26</v>
      </c>
      <c r="C103" s="108" t="s">
        <v>154</v>
      </c>
      <c r="D103" s="57">
        <v>60000</v>
      </c>
      <c r="E103" s="58">
        <f t="shared" si="72"/>
        <v>60000</v>
      </c>
      <c r="F103" s="59">
        <f>E103-42500</f>
        <v>17500</v>
      </c>
      <c r="G103" s="60">
        <f t="shared" si="72"/>
        <v>17500</v>
      </c>
      <c r="H103" s="60">
        <f t="shared" si="72"/>
        <v>17500</v>
      </c>
      <c r="I103" s="60">
        <f t="shared" si="66"/>
        <v>17500</v>
      </c>
      <c r="J103" s="60">
        <f t="shared" si="66"/>
        <v>17500</v>
      </c>
      <c r="K103" s="60">
        <f t="shared" si="67"/>
        <v>17500</v>
      </c>
      <c r="L103" s="60">
        <f t="shared" si="29"/>
        <v>17500</v>
      </c>
      <c r="M103" s="61">
        <f>'[1]Бюдж роспись КБ'!K118/1000</f>
        <v>0</v>
      </c>
      <c r="N103" s="61">
        <f t="shared" si="53"/>
        <v>0</v>
      </c>
      <c r="O103" s="61"/>
      <c r="P103" s="70">
        <f>M103-O103</f>
        <v>0</v>
      </c>
      <c r="Q103" s="61">
        <f t="shared" si="69"/>
        <v>17500</v>
      </c>
      <c r="R103" s="62">
        <f t="shared" si="70"/>
        <v>17500</v>
      </c>
      <c r="S103" s="62">
        <f t="shared" si="71"/>
        <v>0</v>
      </c>
      <c r="T103" s="19"/>
    </row>
    <row r="104" spans="1:20" ht="54" customHeight="1">
      <c r="A104" s="54" t="s">
        <v>155</v>
      </c>
      <c r="B104" s="88" t="s">
        <v>26</v>
      </c>
      <c r="C104" s="108" t="s">
        <v>156</v>
      </c>
      <c r="D104" s="57">
        <v>50000</v>
      </c>
      <c r="E104" s="58">
        <f t="shared" si="72"/>
        <v>50000</v>
      </c>
      <c r="F104" s="60">
        <f t="shared" si="72"/>
        <v>50000</v>
      </c>
      <c r="G104" s="60">
        <f>F104+15478.9</f>
        <v>65478.9</v>
      </c>
      <c r="H104" s="60">
        <f t="shared" si="72"/>
        <v>65478.9</v>
      </c>
      <c r="I104" s="60">
        <f t="shared" si="66"/>
        <v>65478.9</v>
      </c>
      <c r="J104" s="60">
        <f t="shared" si="66"/>
        <v>65478.9</v>
      </c>
      <c r="K104" s="60">
        <f t="shared" si="67"/>
        <v>65478.9</v>
      </c>
      <c r="L104" s="60">
        <f t="shared" si="29"/>
        <v>65478.9</v>
      </c>
      <c r="M104" s="61">
        <f>('[1]Бюдж роспись КБ'!K119+'[1]Бюдж роспись КБ'!K120)/1000</f>
        <v>50000</v>
      </c>
      <c r="N104" s="61">
        <f t="shared" si="53"/>
        <v>76.360476428284528</v>
      </c>
      <c r="O104" s="61">
        <v>50000</v>
      </c>
      <c r="P104" s="61">
        <f>M104-O104</f>
        <v>0</v>
      </c>
      <c r="Q104" s="61">
        <f t="shared" si="69"/>
        <v>15478.900000000001</v>
      </c>
      <c r="R104" s="65">
        <v>157150</v>
      </c>
      <c r="S104" s="62">
        <f>R104-J104</f>
        <v>91671.1</v>
      </c>
      <c r="T104" s="19"/>
    </row>
    <row r="105" spans="1:20" s="50" customFormat="1" ht="31.5">
      <c r="A105" s="46" t="s">
        <v>157</v>
      </c>
      <c r="B105" s="47" t="s">
        <v>24</v>
      </c>
      <c r="C105" s="84">
        <f>SUM(C108:C109)</f>
        <v>0</v>
      </c>
      <c r="D105" s="48">
        <f>D106+D107</f>
        <v>26960</v>
      </c>
      <c r="E105" s="48">
        <f t="shared" ref="E105:S105" si="74">E106+E107</f>
        <v>26960</v>
      </c>
      <c r="F105" s="48">
        <f t="shared" si="74"/>
        <v>26960</v>
      </c>
      <c r="G105" s="48">
        <f t="shared" si="74"/>
        <v>26960</v>
      </c>
      <c r="H105" s="48">
        <f t="shared" si="74"/>
        <v>26960</v>
      </c>
      <c r="I105" s="48">
        <f t="shared" si="74"/>
        <v>26960</v>
      </c>
      <c r="J105" s="48">
        <f t="shared" si="74"/>
        <v>26960</v>
      </c>
      <c r="K105" s="48">
        <f t="shared" si="74"/>
        <v>26960</v>
      </c>
      <c r="L105" s="48">
        <f t="shared" si="74"/>
        <v>26960</v>
      </c>
      <c r="M105" s="48">
        <f t="shared" si="74"/>
        <v>0</v>
      </c>
      <c r="N105" s="61">
        <f t="shared" si="53"/>
        <v>0</v>
      </c>
      <c r="O105" s="48">
        <f t="shared" si="74"/>
        <v>0</v>
      </c>
      <c r="P105" s="48">
        <f t="shared" si="74"/>
        <v>0</v>
      </c>
      <c r="Q105" s="48">
        <f t="shared" si="74"/>
        <v>26960</v>
      </c>
      <c r="R105" s="48">
        <f t="shared" si="74"/>
        <v>26960</v>
      </c>
      <c r="S105" s="48">
        <f t="shared" si="74"/>
        <v>0</v>
      </c>
      <c r="T105" s="49"/>
    </row>
    <row r="106" spans="1:20" s="50" customFormat="1">
      <c r="A106" s="40" t="s">
        <v>25</v>
      </c>
      <c r="B106" s="51" t="s">
        <v>26</v>
      </c>
      <c r="C106" s="85"/>
      <c r="D106" s="35">
        <f>SUMIF($B$108:$B$111,"=01",D108:D111)</f>
        <v>16800</v>
      </c>
      <c r="E106" s="35">
        <f t="shared" ref="E106:O106" si="75">SUMIF($B$108:$B$111,"=01",E108:E111)</f>
        <v>16800</v>
      </c>
      <c r="F106" s="35">
        <f t="shared" si="75"/>
        <v>16800</v>
      </c>
      <c r="G106" s="35">
        <f t="shared" si="75"/>
        <v>16800</v>
      </c>
      <c r="H106" s="35">
        <f t="shared" si="75"/>
        <v>16800</v>
      </c>
      <c r="I106" s="35">
        <f t="shared" si="75"/>
        <v>16800</v>
      </c>
      <c r="J106" s="35">
        <f t="shared" si="75"/>
        <v>16800</v>
      </c>
      <c r="K106" s="35">
        <f t="shared" si="75"/>
        <v>16800</v>
      </c>
      <c r="L106" s="35">
        <f t="shared" si="75"/>
        <v>16800</v>
      </c>
      <c r="M106" s="35">
        <f t="shared" si="75"/>
        <v>0</v>
      </c>
      <c r="N106" s="61">
        <f t="shared" si="53"/>
        <v>0</v>
      </c>
      <c r="O106" s="35">
        <f t="shared" si="75"/>
        <v>0</v>
      </c>
      <c r="P106" s="35">
        <f t="shared" ref="P106" si="76">SUMIF($B$108:$B$109,"=01",P108:P109)</f>
        <v>0</v>
      </c>
      <c r="Q106" s="35">
        <f t="shared" ref="Q106:R106" si="77">SUMIF($B$108:$B$111,"=01",Q108:Q111)</f>
        <v>16800</v>
      </c>
      <c r="R106" s="35">
        <f t="shared" si="77"/>
        <v>16800</v>
      </c>
      <c r="S106" s="35">
        <f t="shared" ref="S106" si="78">SUMIF($B$108:$B$109,"=01",S108:S109)</f>
        <v>0</v>
      </c>
      <c r="T106" s="49"/>
    </row>
    <row r="107" spans="1:20" s="50" customFormat="1">
      <c r="A107" s="40" t="s">
        <v>27</v>
      </c>
      <c r="B107" s="51" t="s">
        <v>28</v>
      </c>
      <c r="C107" s="85"/>
      <c r="D107" s="35">
        <f>SUMIF($B$108:$B$111,"=02",D108:D111)</f>
        <v>10160</v>
      </c>
      <c r="E107" s="35">
        <f t="shared" ref="E107:O107" si="79">SUMIF($B$108:$B$111,"=02",E108:E111)</f>
        <v>10160</v>
      </c>
      <c r="F107" s="35">
        <f t="shared" si="79"/>
        <v>10160</v>
      </c>
      <c r="G107" s="35">
        <f t="shared" si="79"/>
        <v>10160</v>
      </c>
      <c r="H107" s="35">
        <f t="shared" si="79"/>
        <v>10160</v>
      </c>
      <c r="I107" s="35">
        <f t="shared" si="79"/>
        <v>10160</v>
      </c>
      <c r="J107" s="35">
        <f t="shared" si="79"/>
        <v>10160</v>
      </c>
      <c r="K107" s="35">
        <f t="shared" si="79"/>
        <v>10160</v>
      </c>
      <c r="L107" s="35">
        <f t="shared" si="79"/>
        <v>10160</v>
      </c>
      <c r="M107" s="35">
        <f t="shared" si="79"/>
        <v>0</v>
      </c>
      <c r="N107" s="61">
        <f t="shared" si="53"/>
        <v>0</v>
      </c>
      <c r="O107" s="35">
        <f t="shared" si="79"/>
        <v>0</v>
      </c>
      <c r="P107" s="35">
        <f>SUMIF($B$108:$B$109,"=02",P108:P887)</f>
        <v>0</v>
      </c>
      <c r="Q107" s="35">
        <f t="shared" ref="Q107:R107" si="80">SUMIF($B$108:$B$111,"=02",Q108:Q111)</f>
        <v>10160</v>
      </c>
      <c r="R107" s="35">
        <f t="shared" si="80"/>
        <v>10160</v>
      </c>
      <c r="S107" s="62">
        <f t="shared" si="71"/>
        <v>0</v>
      </c>
      <c r="T107" s="49"/>
    </row>
    <row r="108" spans="1:20" ht="31.5">
      <c r="A108" s="86" t="s">
        <v>158</v>
      </c>
      <c r="B108" s="64" t="s">
        <v>26</v>
      </c>
      <c r="C108" s="56" t="s">
        <v>159</v>
      </c>
      <c r="D108" s="57">
        <v>6300</v>
      </c>
      <c r="E108" s="58">
        <f t="shared" ref="E108:J122" si="81">D108</f>
        <v>6300</v>
      </c>
      <c r="F108" s="60">
        <f t="shared" si="81"/>
        <v>6300</v>
      </c>
      <c r="G108" s="60">
        <f t="shared" si="81"/>
        <v>6300</v>
      </c>
      <c r="H108" s="60">
        <f t="shared" si="81"/>
        <v>6300</v>
      </c>
      <c r="I108" s="60">
        <f t="shared" si="81"/>
        <v>6300</v>
      </c>
      <c r="J108" s="60">
        <f t="shared" si="81"/>
        <v>6300</v>
      </c>
      <c r="K108" s="60">
        <f t="shared" ref="K108:K111" si="82">G108</f>
        <v>6300</v>
      </c>
      <c r="L108" s="60">
        <f t="shared" si="29"/>
        <v>6300</v>
      </c>
      <c r="M108" s="61">
        <f>'[1]Бюдж роспись КБ'!K123/1000</f>
        <v>0</v>
      </c>
      <c r="N108" s="61">
        <f t="shared" si="53"/>
        <v>0</v>
      </c>
      <c r="O108" s="61"/>
      <c r="P108" s="61">
        <f>M108-O108</f>
        <v>0</v>
      </c>
      <c r="Q108" s="61">
        <f>J108-M108</f>
        <v>6300</v>
      </c>
      <c r="R108" s="62">
        <f t="shared" si="70"/>
        <v>6300</v>
      </c>
      <c r="S108" s="62">
        <f t="shared" si="71"/>
        <v>0</v>
      </c>
      <c r="T108" s="19"/>
    </row>
    <row r="109" spans="1:20" ht="78.75">
      <c r="A109" s="86" t="s">
        <v>160</v>
      </c>
      <c r="B109" s="47" t="s">
        <v>24</v>
      </c>
      <c r="C109" s="56" t="s">
        <v>161</v>
      </c>
      <c r="D109" s="57"/>
      <c r="E109" s="58">
        <f t="shared" si="81"/>
        <v>0</v>
      </c>
      <c r="F109" s="60">
        <f t="shared" si="81"/>
        <v>0</v>
      </c>
      <c r="G109" s="60">
        <f t="shared" si="81"/>
        <v>0</v>
      </c>
      <c r="H109" s="60">
        <f t="shared" si="81"/>
        <v>0</v>
      </c>
      <c r="I109" s="60">
        <f t="shared" si="81"/>
        <v>0</v>
      </c>
      <c r="J109" s="60">
        <f t="shared" si="81"/>
        <v>0</v>
      </c>
      <c r="K109" s="60">
        <f t="shared" si="82"/>
        <v>0</v>
      </c>
      <c r="L109" s="60">
        <f t="shared" si="29"/>
        <v>0</v>
      </c>
      <c r="M109" s="61"/>
      <c r="N109" s="61"/>
      <c r="O109" s="61"/>
      <c r="P109" s="61">
        <f>M109-O109</f>
        <v>0</v>
      </c>
      <c r="Q109" s="61">
        <f t="shared" ref="Q109:Q111" si="83">J109-M109</f>
        <v>0</v>
      </c>
      <c r="R109" s="62">
        <f t="shared" si="70"/>
        <v>0</v>
      </c>
      <c r="S109" s="62">
        <f t="shared" si="71"/>
        <v>0</v>
      </c>
      <c r="T109" s="19"/>
    </row>
    <row r="110" spans="1:20" ht="17.25" customHeight="1">
      <c r="A110" s="95" t="s">
        <v>25</v>
      </c>
      <c r="B110" s="64" t="s">
        <v>26</v>
      </c>
      <c r="C110" s="56" t="s">
        <v>161</v>
      </c>
      <c r="D110" s="57">
        <v>10500</v>
      </c>
      <c r="E110" s="58">
        <f t="shared" si="81"/>
        <v>10500</v>
      </c>
      <c r="F110" s="60">
        <f t="shared" si="81"/>
        <v>10500</v>
      </c>
      <c r="G110" s="60">
        <f t="shared" si="81"/>
        <v>10500</v>
      </c>
      <c r="H110" s="60">
        <f t="shared" si="81"/>
        <v>10500</v>
      </c>
      <c r="I110" s="60">
        <f t="shared" si="81"/>
        <v>10500</v>
      </c>
      <c r="J110" s="60">
        <f t="shared" si="81"/>
        <v>10500</v>
      </c>
      <c r="K110" s="60">
        <f t="shared" si="82"/>
        <v>10500</v>
      </c>
      <c r="L110" s="60">
        <f t="shared" si="29"/>
        <v>10500</v>
      </c>
      <c r="M110" s="61">
        <f>('[1]Бюдж роспись КБ'!K124+'[1]Бюдж роспись КБ'!K125)/1000</f>
        <v>0</v>
      </c>
      <c r="N110" s="61">
        <f t="shared" si="53"/>
        <v>0</v>
      </c>
      <c r="O110" s="61"/>
      <c r="P110" s="61"/>
      <c r="Q110" s="61">
        <f t="shared" si="83"/>
        <v>10500</v>
      </c>
      <c r="R110" s="62">
        <f t="shared" si="70"/>
        <v>10500</v>
      </c>
      <c r="S110" s="62">
        <f t="shared" si="71"/>
        <v>0</v>
      </c>
      <c r="T110" s="19"/>
    </row>
    <row r="111" spans="1:20" ht="17.25" customHeight="1">
      <c r="A111" s="95" t="s">
        <v>27</v>
      </c>
      <c r="B111" s="64" t="s">
        <v>28</v>
      </c>
      <c r="C111" s="56" t="s">
        <v>161</v>
      </c>
      <c r="D111" s="57">
        <v>10160</v>
      </c>
      <c r="E111" s="58">
        <f t="shared" si="81"/>
        <v>10160</v>
      </c>
      <c r="F111" s="60">
        <f t="shared" si="81"/>
        <v>10160</v>
      </c>
      <c r="G111" s="60">
        <f t="shared" si="81"/>
        <v>10160</v>
      </c>
      <c r="H111" s="60">
        <f t="shared" si="81"/>
        <v>10160</v>
      </c>
      <c r="I111" s="60">
        <f t="shared" si="81"/>
        <v>10160</v>
      </c>
      <c r="J111" s="60">
        <f t="shared" si="81"/>
        <v>10160</v>
      </c>
      <c r="K111" s="60">
        <f t="shared" si="82"/>
        <v>10160</v>
      </c>
      <c r="L111" s="60">
        <f t="shared" si="29"/>
        <v>10160</v>
      </c>
      <c r="M111" s="61">
        <f>'[1]Бюдж роспись КБ'!K126/1000</f>
        <v>0</v>
      </c>
      <c r="N111" s="61">
        <f t="shared" si="53"/>
        <v>0</v>
      </c>
      <c r="O111" s="61"/>
      <c r="P111" s="61"/>
      <c r="Q111" s="61">
        <f t="shared" si="83"/>
        <v>10160</v>
      </c>
      <c r="R111" s="62">
        <f t="shared" si="70"/>
        <v>10160</v>
      </c>
      <c r="S111" s="62">
        <f t="shared" si="71"/>
        <v>0</v>
      </c>
      <c r="T111" s="19"/>
    </row>
    <row r="112" spans="1:20" s="50" customFormat="1" ht="18" customHeight="1">
      <c r="A112" s="46" t="s">
        <v>162</v>
      </c>
      <c r="B112" s="51" t="s">
        <v>26</v>
      </c>
      <c r="C112" s="84">
        <f t="shared" ref="C112" si="84">SUM(C114:C122)</f>
        <v>0</v>
      </c>
      <c r="D112" s="48">
        <f>D113</f>
        <v>236518.6</v>
      </c>
      <c r="E112" s="48">
        <f t="shared" ref="E112:R112" si="85">E113</f>
        <v>236518.6</v>
      </c>
      <c r="F112" s="48">
        <f t="shared" si="85"/>
        <v>236518.6</v>
      </c>
      <c r="G112" s="48">
        <f t="shared" si="85"/>
        <v>253518.6</v>
      </c>
      <c r="H112" s="48">
        <f t="shared" si="85"/>
        <v>253518.6</v>
      </c>
      <c r="I112" s="48">
        <f t="shared" si="85"/>
        <v>253518.6</v>
      </c>
      <c r="J112" s="48">
        <f t="shared" si="85"/>
        <v>253518.6</v>
      </c>
      <c r="K112" s="48">
        <f t="shared" si="85"/>
        <v>253518.6</v>
      </c>
      <c r="L112" s="48">
        <f t="shared" si="85"/>
        <v>253518.6</v>
      </c>
      <c r="M112" s="48">
        <f>M113</f>
        <v>39683.678500000002</v>
      </c>
      <c r="N112" s="48">
        <f t="shared" si="53"/>
        <v>15.653162529297655</v>
      </c>
      <c r="O112" s="48">
        <f t="shared" si="85"/>
        <v>39512.456999999995</v>
      </c>
      <c r="P112" s="48">
        <f t="shared" si="85"/>
        <v>171.22149999999999</v>
      </c>
      <c r="Q112" s="48">
        <f t="shared" si="85"/>
        <v>213834.9215</v>
      </c>
      <c r="R112" s="48">
        <f t="shared" si="85"/>
        <v>236518.6</v>
      </c>
      <c r="S112" s="62">
        <f t="shared" si="71"/>
        <v>0</v>
      </c>
      <c r="T112" s="49"/>
    </row>
    <row r="113" spans="1:20" s="50" customFormat="1">
      <c r="A113" s="40" t="s">
        <v>25</v>
      </c>
      <c r="B113" s="51" t="s">
        <v>26</v>
      </c>
      <c r="C113" s="85"/>
      <c r="D113" s="35">
        <f t="shared" ref="D113:O113" si="86">SUMIF($B$114:$B$122,"=01",D114:D122)</f>
        <v>236518.6</v>
      </c>
      <c r="E113" s="35">
        <f t="shared" si="86"/>
        <v>236518.6</v>
      </c>
      <c r="F113" s="35">
        <f t="shared" si="86"/>
        <v>236518.6</v>
      </c>
      <c r="G113" s="35">
        <f t="shared" si="86"/>
        <v>253518.6</v>
      </c>
      <c r="H113" s="35">
        <f t="shared" si="86"/>
        <v>253518.6</v>
      </c>
      <c r="I113" s="35">
        <f t="shared" si="86"/>
        <v>253518.6</v>
      </c>
      <c r="J113" s="35">
        <f t="shared" si="86"/>
        <v>253518.6</v>
      </c>
      <c r="K113" s="35">
        <f t="shared" si="86"/>
        <v>253518.6</v>
      </c>
      <c r="L113" s="35">
        <f t="shared" si="86"/>
        <v>253518.6</v>
      </c>
      <c r="M113" s="35">
        <f>SUMIF($B$114:$B$122,"=01",M114:M122)</f>
        <v>39683.678500000002</v>
      </c>
      <c r="N113" s="35">
        <f t="shared" si="53"/>
        <v>15.653162529297655</v>
      </c>
      <c r="O113" s="35">
        <f t="shared" si="86"/>
        <v>39512.456999999995</v>
      </c>
      <c r="P113" s="35">
        <f>SUMIF($B$114:$B$122,"=01",P114:P122)</f>
        <v>171.22149999999999</v>
      </c>
      <c r="Q113" s="35">
        <f>SUMIF($B$114:$B$122,"=01",Q114:Q122)</f>
        <v>213834.9215</v>
      </c>
      <c r="R113" s="35">
        <f>SUMIF($B$114:$B$122,"=01",R114:R122)</f>
        <v>236518.6</v>
      </c>
      <c r="S113" s="62">
        <f t="shared" si="71"/>
        <v>0</v>
      </c>
      <c r="T113" s="49"/>
    </row>
    <row r="114" spans="1:20" ht="78.75">
      <c r="A114" s="68" t="s">
        <v>163</v>
      </c>
      <c r="B114" s="47" t="s">
        <v>26</v>
      </c>
      <c r="C114" s="109" t="s">
        <v>164</v>
      </c>
      <c r="D114" s="57">
        <v>1005.8</v>
      </c>
      <c r="E114" s="58">
        <f t="shared" si="81"/>
        <v>1005.8</v>
      </c>
      <c r="F114" s="60">
        <f t="shared" si="81"/>
        <v>1005.8</v>
      </c>
      <c r="G114" s="60">
        <f t="shared" si="81"/>
        <v>1005.8</v>
      </c>
      <c r="H114" s="60">
        <f t="shared" si="81"/>
        <v>1005.8</v>
      </c>
      <c r="I114" s="60">
        <f t="shared" si="81"/>
        <v>1005.8</v>
      </c>
      <c r="J114" s="60">
        <f t="shared" si="81"/>
        <v>1005.8</v>
      </c>
      <c r="K114" s="60">
        <f t="shared" ref="K114:K122" si="87">G114</f>
        <v>1005.8</v>
      </c>
      <c r="L114" s="60">
        <f t="shared" si="29"/>
        <v>1005.8</v>
      </c>
      <c r="M114" s="61">
        <f>'[1]Бюдж роспись КБ'!K128/1000</f>
        <v>683.67849999999999</v>
      </c>
      <c r="N114" s="61">
        <f t="shared" si="53"/>
        <v>67.973603102008354</v>
      </c>
      <c r="O114" s="61">
        <v>512.45699999999999</v>
      </c>
      <c r="P114" s="97">
        <f t="shared" ref="P114:P122" si="88">M114-O114</f>
        <v>171.22149999999999</v>
      </c>
      <c r="Q114" s="61">
        <f t="shared" ref="Q114:Q122" si="89">J114-M114</f>
        <v>322.12149999999997</v>
      </c>
      <c r="R114" s="62">
        <f t="shared" si="70"/>
        <v>1005.8</v>
      </c>
      <c r="S114" s="62">
        <f t="shared" si="71"/>
        <v>0</v>
      </c>
      <c r="T114" s="19"/>
    </row>
    <row r="115" spans="1:20" ht="110.25">
      <c r="A115" s="63" t="s">
        <v>165</v>
      </c>
      <c r="B115" s="64" t="s">
        <v>26</v>
      </c>
      <c r="C115" s="109" t="s">
        <v>166</v>
      </c>
      <c r="D115" s="57">
        <v>1168.5</v>
      </c>
      <c r="E115" s="58">
        <f t="shared" si="81"/>
        <v>1168.5</v>
      </c>
      <c r="F115" s="60">
        <f t="shared" si="81"/>
        <v>1168.5</v>
      </c>
      <c r="G115" s="60">
        <f t="shared" si="81"/>
        <v>1168.5</v>
      </c>
      <c r="H115" s="60">
        <f t="shared" si="81"/>
        <v>1168.5</v>
      </c>
      <c r="I115" s="60">
        <f t="shared" si="81"/>
        <v>1168.5</v>
      </c>
      <c r="J115" s="60">
        <f t="shared" si="81"/>
        <v>1168.5</v>
      </c>
      <c r="K115" s="60">
        <f t="shared" si="87"/>
        <v>1168.5</v>
      </c>
      <c r="L115" s="60">
        <f t="shared" si="29"/>
        <v>1168.5</v>
      </c>
      <c r="M115" s="61"/>
      <c r="N115" s="61">
        <f t="shared" si="53"/>
        <v>0</v>
      </c>
      <c r="O115" s="61"/>
      <c r="P115" s="61">
        <f t="shared" si="88"/>
        <v>0</v>
      </c>
      <c r="Q115" s="61">
        <f t="shared" si="89"/>
        <v>1168.5</v>
      </c>
      <c r="R115" s="62">
        <f t="shared" si="70"/>
        <v>1168.5</v>
      </c>
      <c r="S115" s="62">
        <f t="shared" si="71"/>
        <v>0</v>
      </c>
      <c r="T115" s="19"/>
    </row>
    <row r="116" spans="1:20" ht="31.5">
      <c r="A116" s="77" t="s">
        <v>167</v>
      </c>
      <c r="B116" s="47" t="s">
        <v>26</v>
      </c>
      <c r="C116" s="110" t="s">
        <v>168</v>
      </c>
      <c r="D116" s="57">
        <v>104000</v>
      </c>
      <c r="E116" s="58">
        <f t="shared" si="81"/>
        <v>104000</v>
      </c>
      <c r="F116" s="60">
        <f t="shared" si="81"/>
        <v>104000</v>
      </c>
      <c r="G116" s="60">
        <f t="shared" si="81"/>
        <v>104000</v>
      </c>
      <c r="H116" s="60">
        <f t="shared" si="81"/>
        <v>104000</v>
      </c>
      <c r="I116" s="60">
        <f t="shared" si="81"/>
        <v>104000</v>
      </c>
      <c r="J116" s="60">
        <f t="shared" si="81"/>
        <v>104000</v>
      </c>
      <c r="K116" s="60">
        <f t="shared" si="87"/>
        <v>104000</v>
      </c>
      <c r="L116" s="60">
        <f t="shared" ref="L116:L131" si="90">K116</f>
        <v>104000</v>
      </c>
      <c r="M116" s="61">
        <f>'[1]Бюдж роспись КБ'!K130/1000</f>
        <v>29500</v>
      </c>
      <c r="N116" s="61">
        <f t="shared" si="53"/>
        <v>28.365384615384613</v>
      </c>
      <c r="O116" s="61">
        <v>29500</v>
      </c>
      <c r="P116" s="61">
        <f t="shared" si="88"/>
        <v>0</v>
      </c>
      <c r="Q116" s="61">
        <f t="shared" si="89"/>
        <v>74500</v>
      </c>
      <c r="R116" s="62">
        <f t="shared" si="70"/>
        <v>104000</v>
      </c>
      <c r="S116" s="62">
        <f t="shared" si="71"/>
        <v>0</v>
      </c>
      <c r="T116" s="19"/>
    </row>
    <row r="117" spans="1:20" ht="63">
      <c r="A117" s="75" t="s">
        <v>169</v>
      </c>
      <c r="B117" s="64" t="s">
        <v>26</v>
      </c>
      <c r="C117" s="56" t="s">
        <v>170</v>
      </c>
      <c r="D117" s="57">
        <v>38629.9</v>
      </c>
      <c r="E117" s="58">
        <f t="shared" si="81"/>
        <v>38629.9</v>
      </c>
      <c r="F117" s="60">
        <f t="shared" si="81"/>
        <v>38629.9</v>
      </c>
      <c r="G117" s="60">
        <f t="shared" si="81"/>
        <v>38629.9</v>
      </c>
      <c r="H117" s="60">
        <f t="shared" si="81"/>
        <v>38629.9</v>
      </c>
      <c r="I117" s="60">
        <f t="shared" si="81"/>
        <v>38629.9</v>
      </c>
      <c r="J117" s="60">
        <f t="shared" si="81"/>
        <v>38629.9</v>
      </c>
      <c r="K117" s="60">
        <f t="shared" si="87"/>
        <v>38629.9</v>
      </c>
      <c r="L117" s="60">
        <f t="shared" si="90"/>
        <v>38629.9</v>
      </c>
      <c r="M117" s="61">
        <f>('[1]Бюдж роспись КБ'!K131+'[1]Бюдж роспись КБ'!K132)/1000</f>
        <v>0</v>
      </c>
      <c r="N117" s="61">
        <f t="shared" si="53"/>
        <v>0</v>
      </c>
      <c r="O117" s="61"/>
      <c r="P117" s="70">
        <f t="shared" si="88"/>
        <v>0</v>
      </c>
      <c r="Q117" s="61">
        <f t="shared" si="89"/>
        <v>38629.9</v>
      </c>
      <c r="R117" s="62">
        <f t="shared" si="70"/>
        <v>38629.9</v>
      </c>
      <c r="S117" s="62">
        <f t="shared" si="71"/>
        <v>0</v>
      </c>
      <c r="T117" s="19"/>
    </row>
    <row r="118" spans="1:20" ht="94.5">
      <c r="A118" s="54" t="s">
        <v>171</v>
      </c>
      <c r="B118" s="64" t="s">
        <v>26</v>
      </c>
      <c r="C118" s="56" t="s">
        <v>172</v>
      </c>
      <c r="D118" s="57">
        <v>780</v>
      </c>
      <c r="E118" s="58">
        <f t="shared" si="81"/>
        <v>780</v>
      </c>
      <c r="F118" s="60">
        <f t="shared" si="81"/>
        <v>780</v>
      </c>
      <c r="G118" s="60">
        <f t="shared" si="81"/>
        <v>780</v>
      </c>
      <c r="H118" s="60">
        <f t="shared" si="81"/>
        <v>780</v>
      </c>
      <c r="I118" s="60">
        <f>H118</f>
        <v>780</v>
      </c>
      <c r="J118" s="60">
        <f>I118</f>
        <v>780</v>
      </c>
      <c r="K118" s="60">
        <f>G118</f>
        <v>780</v>
      </c>
      <c r="L118" s="60">
        <f>K118</f>
        <v>780</v>
      </c>
      <c r="M118" s="61">
        <f>'[1]Бюдж роспись КБ'!K133/1000</f>
        <v>0</v>
      </c>
      <c r="N118" s="61">
        <f t="shared" si="53"/>
        <v>0</v>
      </c>
      <c r="O118" s="61"/>
      <c r="P118" s="61">
        <f t="shared" si="88"/>
        <v>0</v>
      </c>
      <c r="Q118" s="111">
        <f t="shared" si="89"/>
        <v>780</v>
      </c>
      <c r="R118" s="62">
        <f t="shared" si="70"/>
        <v>780</v>
      </c>
      <c r="S118" s="62">
        <f t="shared" si="71"/>
        <v>0</v>
      </c>
      <c r="T118" s="19"/>
    </row>
    <row r="119" spans="1:20" ht="63">
      <c r="A119" s="63" t="s">
        <v>173</v>
      </c>
      <c r="B119" s="64" t="s">
        <v>26</v>
      </c>
      <c r="C119" s="56" t="s">
        <v>174</v>
      </c>
      <c r="D119" s="57">
        <v>455.6</v>
      </c>
      <c r="E119" s="58">
        <f t="shared" si="81"/>
        <v>455.6</v>
      </c>
      <c r="F119" s="60">
        <f t="shared" si="81"/>
        <v>455.6</v>
      </c>
      <c r="G119" s="60">
        <f t="shared" si="81"/>
        <v>455.6</v>
      </c>
      <c r="H119" s="60">
        <f t="shared" si="81"/>
        <v>455.6</v>
      </c>
      <c r="I119" s="60">
        <f t="shared" si="81"/>
        <v>455.6</v>
      </c>
      <c r="J119" s="60">
        <f t="shared" si="81"/>
        <v>455.6</v>
      </c>
      <c r="K119" s="60">
        <f t="shared" ref="K119:K121" si="91">G119</f>
        <v>455.6</v>
      </c>
      <c r="L119" s="60">
        <f>K119</f>
        <v>455.6</v>
      </c>
      <c r="M119" s="61">
        <f>'[1]Бюдж роспись КБ'!K135/1000</f>
        <v>0</v>
      </c>
      <c r="N119" s="61">
        <f t="shared" si="53"/>
        <v>0</v>
      </c>
      <c r="O119" s="61"/>
      <c r="P119" s="61">
        <f t="shared" si="88"/>
        <v>0</v>
      </c>
      <c r="Q119" s="61">
        <f t="shared" si="89"/>
        <v>455.6</v>
      </c>
      <c r="R119" s="62">
        <f t="shared" si="70"/>
        <v>455.6</v>
      </c>
      <c r="S119" s="62">
        <f t="shared" si="71"/>
        <v>0</v>
      </c>
      <c r="T119" s="19"/>
    </row>
    <row r="120" spans="1:20" ht="63">
      <c r="A120" s="63" t="s">
        <v>175</v>
      </c>
      <c r="B120" s="64" t="s">
        <v>26</v>
      </c>
      <c r="C120" s="56" t="s">
        <v>176</v>
      </c>
      <c r="D120" s="57">
        <v>778.8</v>
      </c>
      <c r="E120" s="58">
        <f t="shared" si="81"/>
        <v>778.8</v>
      </c>
      <c r="F120" s="60">
        <f t="shared" si="81"/>
        <v>778.8</v>
      </c>
      <c r="G120" s="60">
        <f t="shared" si="81"/>
        <v>778.8</v>
      </c>
      <c r="H120" s="60">
        <f t="shared" si="81"/>
        <v>778.8</v>
      </c>
      <c r="I120" s="60">
        <f t="shared" si="81"/>
        <v>778.8</v>
      </c>
      <c r="J120" s="60">
        <f t="shared" si="81"/>
        <v>778.8</v>
      </c>
      <c r="K120" s="60">
        <f t="shared" si="91"/>
        <v>778.8</v>
      </c>
      <c r="L120" s="60">
        <f>K120</f>
        <v>778.8</v>
      </c>
      <c r="M120" s="61">
        <f>'[1]Бюдж роспись КБ'!K136/1000</f>
        <v>0</v>
      </c>
      <c r="N120" s="61">
        <f t="shared" si="53"/>
        <v>0</v>
      </c>
      <c r="O120" s="61"/>
      <c r="P120" s="61">
        <f t="shared" si="88"/>
        <v>0</v>
      </c>
      <c r="Q120" s="61">
        <f t="shared" si="89"/>
        <v>778.8</v>
      </c>
      <c r="R120" s="62">
        <f t="shared" si="70"/>
        <v>778.8</v>
      </c>
      <c r="S120" s="62">
        <f t="shared" si="71"/>
        <v>0</v>
      </c>
      <c r="T120" s="19"/>
    </row>
    <row r="121" spans="1:20" ht="78.75">
      <c r="A121" s="63" t="s">
        <v>177</v>
      </c>
      <c r="B121" s="64" t="s">
        <v>26</v>
      </c>
      <c r="C121" s="56" t="s">
        <v>178</v>
      </c>
      <c r="D121" s="57">
        <v>25000</v>
      </c>
      <c r="E121" s="58">
        <f>D121</f>
        <v>25000</v>
      </c>
      <c r="F121" s="60">
        <f>E121</f>
        <v>25000</v>
      </c>
      <c r="G121" s="60">
        <f>F121</f>
        <v>25000</v>
      </c>
      <c r="H121" s="60">
        <f>G121</f>
        <v>25000</v>
      </c>
      <c r="I121" s="60">
        <f t="shared" si="81"/>
        <v>25000</v>
      </c>
      <c r="J121" s="60">
        <f t="shared" si="81"/>
        <v>25000</v>
      </c>
      <c r="K121" s="60">
        <f t="shared" si="91"/>
        <v>25000</v>
      </c>
      <c r="L121" s="60">
        <f>K121</f>
        <v>25000</v>
      </c>
      <c r="M121" s="61">
        <f>'[1]Бюдж роспись КБ'!K134/1000</f>
        <v>9500</v>
      </c>
      <c r="N121" s="61">
        <f t="shared" si="53"/>
        <v>38</v>
      </c>
      <c r="O121" s="61">
        <v>9500</v>
      </c>
      <c r="P121" s="61">
        <f t="shared" si="88"/>
        <v>0</v>
      </c>
      <c r="Q121" s="61">
        <f t="shared" si="89"/>
        <v>15500</v>
      </c>
      <c r="R121" s="62">
        <f t="shared" si="70"/>
        <v>25000</v>
      </c>
      <c r="S121" s="62">
        <f t="shared" si="71"/>
        <v>0</v>
      </c>
      <c r="T121" s="19"/>
    </row>
    <row r="122" spans="1:20" ht="141.75">
      <c r="A122" s="63" t="s">
        <v>179</v>
      </c>
      <c r="B122" s="64" t="s">
        <v>26</v>
      </c>
      <c r="C122" s="56" t="s">
        <v>180</v>
      </c>
      <c r="D122" s="57">
        <v>64700</v>
      </c>
      <c r="E122" s="58">
        <f t="shared" ref="E122:H122" si="92">D122</f>
        <v>64700</v>
      </c>
      <c r="F122" s="60">
        <f t="shared" si="92"/>
        <v>64700</v>
      </c>
      <c r="G122" s="60">
        <f>F122+17000</f>
        <v>81700</v>
      </c>
      <c r="H122" s="60">
        <f t="shared" si="92"/>
        <v>81700</v>
      </c>
      <c r="I122" s="60">
        <f t="shared" si="81"/>
        <v>81700</v>
      </c>
      <c r="J122" s="60">
        <f t="shared" si="81"/>
        <v>81700</v>
      </c>
      <c r="K122" s="60">
        <f t="shared" si="87"/>
        <v>81700</v>
      </c>
      <c r="L122" s="60">
        <f t="shared" si="90"/>
        <v>81700</v>
      </c>
      <c r="M122" s="61"/>
      <c r="N122" s="61">
        <f t="shared" si="53"/>
        <v>0</v>
      </c>
      <c r="O122" s="69"/>
      <c r="P122" s="61">
        <f t="shared" si="88"/>
        <v>0</v>
      </c>
      <c r="Q122" s="61">
        <f t="shared" si="89"/>
        <v>81700</v>
      </c>
      <c r="R122" s="62">
        <f>F122</f>
        <v>64700</v>
      </c>
      <c r="S122" s="62">
        <f t="shared" si="71"/>
        <v>0</v>
      </c>
      <c r="T122" s="19"/>
    </row>
    <row r="123" spans="1:20" s="50" customFormat="1" ht="31.5">
      <c r="A123" s="46" t="s">
        <v>181</v>
      </c>
      <c r="B123" s="47" t="s">
        <v>24</v>
      </c>
      <c r="C123" s="84">
        <f>SUM(C126:C131)</f>
        <v>0</v>
      </c>
      <c r="D123" s="48">
        <f>D124+D125</f>
        <v>788641.1</v>
      </c>
      <c r="E123" s="48">
        <f t="shared" ref="E123:S123" si="93">E124+E125</f>
        <v>788641.1</v>
      </c>
      <c r="F123" s="48">
        <f t="shared" si="93"/>
        <v>788641.1</v>
      </c>
      <c r="G123" s="48">
        <f t="shared" si="93"/>
        <v>684177.7</v>
      </c>
      <c r="H123" s="48">
        <f t="shared" si="93"/>
        <v>684177.7</v>
      </c>
      <c r="I123" s="48">
        <f t="shared" si="93"/>
        <v>684177.7</v>
      </c>
      <c r="J123" s="48">
        <f t="shared" si="93"/>
        <v>684177.7</v>
      </c>
      <c r="K123" s="48">
        <f t="shared" si="93"/>
        <v>684177.7</v>
      </c>
      <c r="L123" s="48">
        <f t="shared" si="93"/>
        <v>684177.7</v>
      </c>
      <c r="M123" s="48">
        <f>M124+M125</f>
        <v>220470.26832</v>
      </c>
      <c r="N123" s="48">
        <f>M123/L123*100</f>
        <v>32.224123691842053</v>
      </c>
      <c r="O123" s="48">
        <f t="shared" si="93"/>
        <v>220470.26832</v>
      </c>
      <c r="P123" s="48">
        <f t="shared" si="93"/>
        <v>0</v>
      </c>
      <c r="Q123" s="48">
        <f t="shared" si="93"/>
        <v>463707.43168000004</v>
      </c>
      <c r="R123" s="48">
        <f t="shared" si="93"/>
        <v>788641.1</v>
      </c>
      <c r="S123" s="48">
        <f t="shared" si="93"/>
        <v>0</v>
      </c>
      <c r="T123" s="49"/>
    </row>
    <row r="124" spans="1:20" s="50" customFormat="1">
      <c r="A124" s="40" t="s">
        <v>25</v>
      </c>
      <c r="B124" s="51" t="s">
        <v>26</v>
      </c>
      <c r="C124" s="85"/>
      <c r="D124" s="35">
        <f t="shared" ref="D124:P124" si="94">SUMIF($B$126:$B$131,"=01",D126:D131)</f>
        <v>762672.4</v>
      </c>
      <c r="E124" s="35">
        <f t="shared" si="94"/>
        <v>762672.4</v>
      </c>
      <c r="F124" s="35">
        <f t="shared" si="94"/>
        <v>762672.4</v>
      </c>
      <c r="G124" s="35">
        <f t="shared" si="94"/>
        <v>658209</v>
      </c>
      <c r="H124" s="35">
        <f t="shared" si="94"/>
        <v>658209</v>
      </c>
      <c r="I124" s="35">
        <f t="shared" si="94"/>
        <v>658209</v>
      </c>
      <c r="J124" s="35">
        <f t="shared" si="94"/>
        <v>658209</v>
      </c>
      <c r="K124" s="35">
        <f t="shared" si="94"/>
        <v>658209</v>
      </c>
      <c r="L124" s="35">
        <f t="shared" si="94"/>
        <v>658209</v>
      </c>
      <c r="M124" s="35">
        <f>SUMIF($B$126:$B$131,"=01",M126:M131)</f>
        <v>194501.56831999999</v>
      </c>
      <c r="N124" s="35">
        <f>M124/L124*100</f>
        <v>29.550122881941753</v>
      </c>
      <c r="O124" s="35">
        <f t="shared" si="94"/>
        <v>194501.56831999999</v>
      </c>
      <c r="P124" s="35">
        <f t="shared" si="94"/>
        <v>0</v>
      </c>
      <c r="Q124" s="35">
        <f>SUMIF($B$126:$B$131,"=01",Q126:Q131)</f>
        <v>463707.43168000004</v>
      </c>
      <c r="R124" s="35">
        <f t="shared" ref="R124:S124" si="95">SUMIF($B$126:$B$131,"=01",R126:R131)</f>
        <v>762672.4</v>
      </c>
      <c r="S124" s="35">
        <f t="shared" si="95"/>
        <v>0</v>
      </c>
      <c r="T124" s="49"/>
    </row>
    <row r="125" spans="1:20" s="50" customFormat="1">
      <c r="A125" s="40" t="s">
        <v>27</v>
      </c>
      <c r="B125" s="51" t="s">
        <v>28</v>
      </c>
      <c r="C125" s="85"/>
      <c r="D125" s="35">
        <f t="shared" ref="D125:P125" si="96">SUMIF($B$126:$B$131,"=02",D126:D131)</f>
        <v>25968.7</v>
      </c>
      <c r="E125" s="35">
        <f t="shared" si="96"/>
        <v>25968.7</v>
      </c>
      <c r="F125" s="35">
        <f t="shared" si="96"/>
        <v>25968.7</v>
      </c>
      <c r="G125" s="35">
        <f t="shared" si="96"/>
        <v>25968.7</v>
      </c>
      <c r="H125" s="35">
        <f t="shared" si="96"/>
        <v>25968.7</v>
      </c>
      <c r="I125" s="35">
        <f t="shared" si="96"/>
        <v>25968.7</v>
      </c>
      <c r="J125" s="35">
        <f t="shared" si="96"/>
        <v>25968.7</v>
      </c>
      <c r="K125" s="35">
        <f t="shared" si="96"/>
        <v>25968.7</v>
      </c>
      <c r="L125" s="35">
        <f t="shared" si="96"/>
        <v>25968.7</v>
      </c>
      <c r="M125" s="35">
        <f>SUMIF($B$126:$B$131,"=02",M126:M131)</f>
        <v>25968.7</v>
      </c>
      <c r="N125" s="35">
        <f>M125/L125*100</f>
        <v>100</v>
      </c>
      <c r="O125" s="35">
        <f t="shared" si="96"/>
        <v>25968.7</v>
      </c>
      <c r="P125" s="35">
        <f t="shared" si="96"/>
        <v>0</v>
      </c>
      <c r="Q125" s="35">
        <f>SUMIF($B$126:$B$131,"=02",Q126:Q131)</f>
        <v>0</v>
      </c>
      <c r="R125" s="35">
        <f t="shared" ref="R125:S125" si="97">SUMIF($B$126:$B$131,"=02",R126:R131)</f>
        <v>25968.7</v>
      </c>
      <c r="S125" s="35">
        <f t="shared" si="97"/>
        <v>0</v>
      </c>
      <c r="T125" s="49"/>
    </row>
    <row r="126" spans="1:20" ht="94.5">
      <c r="A126" s="63" t="s">
        <v>182</v>
      </c>
      <c r="B126" s="64" t="s">
        <v>26</v>
      </c>
      <c r="C126" s="56" t="s">
        <v>183</v>
      </c>
      <c r="D126" s="57">
        <v>48413.4</v>
      </c>
      <c r="E126" s="58">
        <f t="shared" ref="E126:J131" si="98">D126</f>
        <v>48413.4</v>
      </c>
      <c r="F126" s="60">
        <f t="shared" si="98"/>
        <v>48413.4</v>
      </c>
      <c r="G126" s="60">
        <f t="shared" si="98"/>
        <v>48413.4</v>
      </c>
      <c r="H126" s="60">
        <f t="shared" si="98"/>
        <v>48413.4</v>
      </c>
      <c r="I126" s="60">
        <f t="shared" si="98"/>
        <v>48413.4</v>
      </c>
      <c r="J126" s="60">
        <f t="shared" si="98"/>
        <v>48413.4</v>
      </c>
      <c r="K126" s="60">
        <f t="shared" ref="K126:K131" si="99">G126</f>
        <v>48413.4</v>
      </c>
      <c r="L126" s="60">
        <f t="shared" si="90"/>
        <v>48413.4</v>
      </c>
      <c r="M126" s="61"/>
      <c r="N126" s="61">
        <f t="shared" ref="N126:N131" si="100">M126/L126*100</f>
        <v>0</v>
      </c>
      <c r="O126" s="69">
        <f t="shared" ref="O126:O128" si="101">M126</f>
        <v>0</v>
      </c>
      <c r="P126" s="61">
        <f>M126-O126</f>
        <v>0</v>
      </c>
      <c r="Q126" s="61">
        <f>J126-M126</f>
        <v>48413.4</v>
      </c>
      <c r="R126" s="62">
        <f>F126</f>
        <v>48413.4</v>
      </c>
      <c r="S126" s="62">
        <f t="shared" si="71"/>
        <v>0</v>
      </c>
      <c r="T126" s="19"/>
    </row>
    <row r="127" spans="1:20" ht="173.25">
      <c r="A127" s="54" t="s">
        <v>184</v>
      </c>
      <c r="B127" s="64" t="s">
        <v>26</v>
      </c>
      <c r="C127" s="56" t="s">
        <v>185</v>
      </c>
      <c r="D127" s="57">
        <v>26407.3</v>
      </c>
      <c r="E127" s="58">
        <f t="shared" si="98"/>
        <v>26407.3</v>
      </c>
      <c r="F127" s="60">
        <f t="shared" si="98"/>
        <v>26407.3</v>
      </c>
      <c r="G127" s="60">
        <f t="shared" si="98"/>
        <v>26407.3</v>
      </c>
      <c r="H127" s="60">
        <f t="shared" si="98"/>
        <v>26407.3</v>
      </c>
      <c r="I127" s="60">
        <f t="shared" si="98"/>
        <v>26407.3</v>
      </c>
      <c r="J127" s="60">
        <f t="shared" si="98"/>
        <v>26407.3</v>
      </c>
      <c r="K127" s="60">
        <f t="shared" si="99"/>
        <v>26407.3</v>
      </c>
      <c r="L127" s="60">
        <f t="shared" si="90"/>
        <v>26407.3</v>
      </c>
      <c r="M127" s="61"/>
      <c r="N127" s="61">
        <f t="shared" si="100"/>
        <v>0</v>
      </c>
      <c r="O127" s="69">
        <f t="shared" si="101"/>
        <v>0</v>
      </c>
      <c r="P127" s="61"/>
      <c r="Q127" s="61">
        <f t="shared" ref="Q127:Q129" si="102">J127-M127</f>
        <v>26407.3</v>
      </c>
      <c r="R127" s="62">
        <f t="shared" ref="R127:R131" si="103">F127</f>
        <v>26407.3</v>
      </c>
      <c r="S127" s="62">
        <f t="shared" si="71"/>
        <v>0</v>
      </c>
      <c r="T127" s="19"/>
    </row>
    <row r="128" spans="1:20" ht="47.25">
      <c r="A128" s="63" t="s">
        <v>186</v>
      </c>
      <c r="B128" s="47" t="s">
        <v>24</v>
      </c>
      <c r="C128" s="109" t="s">
        <v>187</v>
      </c>
      <c r="D128" s="57"/>
      <c r="E128" s="58">
        <f t="shared" si="98"/>
        <v>0</v>
      </c>
      <c r="F128" s="60">
        <f t="shared" si="98"/>
        <v>0</v>
      </c>
      <c r="G128" s="60">
        <f t="shared" si="98"/>
        <v>0</v>
      </c>
      <c r="H128" s="60">
        <f t="shared" si="98"/>
        <v>0</v>
      </c>
      <c r="I128" s="60">
        <f t="shared" si="98"/>
        <v>0</v>
      </c>
      <c r="J128" s="60">
        <f t="shared" si="98"/>
        <v>0</v>
      </c>
      <c r="K128" s="60">
        <f t="shared" si="99"/>
        <v>0</v>
      </c>
      <c r="L128" s="60">
        <f t="shared" si="90"/>
        <v>0</v>
      </c>
      <c r="M128" s="61"/>
      <c r="N128" s="61"/>
      <c r="O128" s="69">
        <f t="shared" si="101"/>
        <v>0</v>
      </c>
      <c r="P128" s="70">
        <f>M128-O128</f>
        <v>0</v>
      </c>
      <c r="Q128" s="61">
        <f t="shared" si="102"/>
        <v>0</v>
      </c>
      <c r="R128" s="62">
        <f t="shared" si="103"/>
        <v>0</v>
      </c>
      <c r="S128" s="62">
        <f t="shared" si="71"/>
        <v>0</v>
      </c>
      <c r="T128" s="19"/>
    </row>
    <row r="129" spans="1:20">
      <c r="A129" s="40" t="s">
        <v>25</v>
      </c>
      <c r="B129" s="64" t="s">
        <v>26</v>
      </c>
      <c r="C129" s="109" t="s">
        <v>187</v>
      </c>
      <c r="D129" s="57">
        <f>199378.4+52776.6</f>
        <v>252155</v>
      </c>
      <c r="E129" s="58">
        <f>D129</f>
        <v>252155</v>
      </c>
      <c r="F129" s="60">
        <f t="shared" si="98"/>
        <v>252155</v>
      </c>
      <c r="G129" s="60">
        <f t="shared" si="98"/>
        <v>252155</v>
      </c>
      <c r="H129" s="60">
        <f t="shared" si="98"/>
        <v>252155</v>
      </c>
      <c r="I129" s="60">
        <f t="shared" si="98"/>
        <v>252155</v>
      </c>
      <c r="J129" s="60">
        <f t="shared" si="98"/>
        <v>252155</v>
      </c>
      <c r="K129" s="60">
        <f t="shared" si="99"/>
        <v>252155</v>
      </c>
      <c r="L129" s="60">
        <f t="shared" si="90"/>
        <v>252155</v>
      </c>
      <c r="M129" s="61">
        <f>O129</f>
        <v>194501.56831999999</v>
      </c>
      <c r="N129" s="61">
        <f t="shared" si="100"/>
        <v>77.135717443635855</v>
      </c>
      <c r="O129" s="69">
        <f>167647.94332+18549.1+8304.525</f>
        <v>194501.56831999999</v>
      </c>
      <c r="P129" s="61">
        <f t="shared" ref="P129:P130" si="104">M129-O129</f>
        <v>0</v>
      </c>
      <c r="Q129" s="61">
        <f t="shared" si="102"/>
        <v>57653.431680000009</v>
      </c>
      <c r="R129" s="62">
        <f t="shared" si="103"/>
        <v>252155</v>
      </c>
      <c r="S129" s="62">
        <f t="shared" si="71"/>
        <v>0</v>
      </c>
      <c r="T129" s="19"/>
    </row>
    <row r="130" spans="1:20">
      <c r="A130" s="40" t="s">
        <v>27</v>
      </c>
      <c r="B130" s="64" t="s">
        <v>28</v>
      </c>
      <c r="C130" s="109" t="s">
        <v>187</v>
      </c>
      <c r="D130" s="57">
        <f>20533.4+5435.3</f>
        <v>25968.7</v>
      </c>
      <c r="E130" s="58">
        <f t="shared" ref="E130:H131" si="105">D130</f>
        <v>25968.7</v>
      </c>
      <c r="F130" s="60">
        <f t="shared" si="105"/>
        <v>25968.7</v>
      </c>
      <c r="G130" s="60">
        <f t="shared" si="105"/>
        <v>25968.7</v>
      </c>
      <c r="H130" s="60">
        <f t="shared" si="105"/>
        <v>25968.7</v>
      </c>
      <c r="I130" s="60">
        <f t="shared" si="98"/>
        <v>25968.7</v>
      </c>
      <c r="J130" s="60">
        <f t="shared" si="98"/>
        <v>25968.7</v>
      </c>
      <c r="K130" s="60">
        <f t="shared" si="99"/>
        <v>25968.7</v>
      </c>
      <c r="L130" s="60">
        <f t="shared" si="90"/>
        <v>25968.7</v>
      </c>
      <c r="M130" s="61">
        <f>O130</f>
        <v>25968.7</v>
      </c>
      <c r="N130" s="61">
        <f t="shared" si="100"/>
        <v>100</v>
      </c>
      <c r="O130" s="69">
        <v>25968.7</v>
      </c>
      <c r="P130" s="61">
        <f t="shared" si="104"/>
        <v>0</v>
      </c>
      <c r="Q130" s="61">
        <f>J130-M130</f>
        <v>0</v>
      </c>
      <c r="R130" s="62">
        <f t="shared" si="103"/>
        <v>25968.7</v>
      </c>
      <c r="S130" s="62">
        <f t="shared" si="71"/>
        <v>0</v>
      </c>
      <c r="T130" s="19"/>
    </row>
    <row r="131" spans="1:20" ht="47.25">
      <c r="A131" s="54" t="s">
        <v>188</v>
      </c>
      <c r="B131" s="47" t="s">
        <v>26</v>
      </c>
      <c r="C131" s="109" t="s">
        <v>189</v>
      </c>
      <c r="D131" s="57">
        <v>435696.7</v>
      </c>
      <c r="E131" s="58">
        <f t="shared" si="105"/>
        <v>435696.7</v>
      </c>
      <c r="F131" s="60">
        <f t="shared" si="105"/>
        <v>435696.7</v>
      </c>
      <c r="G131" s="60">
        <f>F131-104463.4</f>
        <v>331233.30000000005</v>
      </c>
      <c r="H131" s="60">
        <f t="shared" si="105"/>
        <v>331233.30000000005</v>
      </c>
      <c r="I131" s="60">
        <f t="shared" si="98"/>
        <v>331233.30000000005</v>
      </c>
      <c r="J131" s="60">
        <f t="shared" si="98"/>
        <v>331233.30000000005</v>
      </c>
      <c r="K131" s="60">
        <f t="shared" si="99"/>
        <v>331233.30000000005</v>
      </c>
      <c r="L131" s="60">
        <f t="shared" si="90"/>
        <v>331233.30000000005</v>
      </c>
      <c r="M131" s="61"/>
      <c r="N131" s="61">
        <f t="shared" si="100"/>
        <v>0</v>
      </c>
      <c r="O131" s="69">
        <f t="shared" ref="O131" si="106">M131</f>
        <v>0</v>
      </c>
      <c r="P131" s="61">
        <f>M131-O131</f>
        <v>0</v>
      </c>
      <c r="Q131" s="61">
        <f>J131-M131</f>
        <v>331233.30000000005</v>
      </c>
      <c r="R131" s="62">
        <f t="shared" si="103"/>
        <v>435696.7</v>
      </c>
      <c r="S131" s="62">
        <f t="shared" si="71"/>
        <v>0</v>
      </c>
      <c r="T131" s="19"/>
    </row>
    <row r="132" spans="1:20" s="50" customFormat="1" ht="31.5">
      <c r="A132" s="46" t="s">
        <v>190</v>
      </c>
      <c r="B132" s="51" t="s">
        <v>26</v>
      </c>
      <c r="C132" s="84">
        <f>SUM(C134:C135)</f>
        <v>0</v>
      </c>
      <c r="D132" s="48">
        <f>D133</f>
        <v>30000</v>
      </c>
      <c r="E132" s="48">
        <f t="shared" ref="E132:S132" si="107">E133</f>
        <v>30000</v>
      </c>
      <c r="F132" s="48">
        <f t="shared" si="107"/>
        <v>30000</v>
      </c>
      <c r="G132" s="48">
        <f t="shared" si="107"/>
        <v>30000</v>
      </c>
      <c r="H132" s="48">
        <f t="shared" si="107"/>
        <v>30000</v>
      </c>
      <c r="I132" s="48">
        <f t="shared" si="107"/>
        <v>30000</v>
      </c>
      <c r="J132" s="48">
        <f t="shared" si="107"/>
        <v>30000</v>
      </c>
      <c r="K132" s="48">
        <f t="shared" si="107"/>
        <v>30000</v>
      </c>
      <c r="L132" s="48">
        <f t="shared" si="107"/>
        <v>30000</v>
      </c>
      <c r="M132" s="48">
        <f>M133</f>
        <v>0</v>
      </c>
      <c r="N132" s="48">
        <f>M132/L132*100</f>
        <v>0</v>
      </c>
      <c r="O132" s="48">
        <f t="shared" si="107"/>
        <v>0</v>
      </c>
      <c r="P132" s="48">
        <f t="shared" si="107"/>
        <v>0</v>
      </c>
      <c r="Q132" s="48">
        <f t="shared" si="107"/>
        <v>30000</v>
      </c>
      <c r="R132" s="48">
        <f t="shared" si="107"/>
        <v>30000</v>
      </c>
      <c r="S132" s="48">
        <f t="shared" si="107"/>
        <v>0</v>
      </c>
      <c r="T132" s="49"/>
    </row>
    <row r="133" spans="1:20" s="50" customFormat="1">
      <c r="A133" s="40" t="s">
        <v>25</v>
      </c>
      <c r="B133" s="51" t="s">
        <v>26</v>
      </c>
      <c r="C133" s="85"/>
      <c r="D133" s="35">
        <f t="shared" ref="D133:M133" si="108">SUMIF($B$134:$B$136,"=01",D134:D136)</f>
        <v>30000</v>
      </c>
      <c r="E133" s="35">
        <f t="shared" si="108"/>
        <v>30000</v>
      </c>
      <c r="F133" s="35">
        <f t="shared" si="108"/>
        <v>30000</v>
      </c>
      <c r="G133" s="35">
        <f t="shared" si="108"/>
        <v>30000</v>
      </c>
      <c r="H133" s="35">
        <f t="shared" si="108"/>
        <v>30000</v>
      </c>
      <c r="I133" s="35">
        <f t="shared" si="108"/>
        <v>30000</v>
      </c>
      <c r="J133" s="35">
        <f t="shared" si="108"/>
        <v>30000</v>
      </c>
      <c r="K133" s="35">
        <f t="shared" si="108"/>
        <v>30000</v>
      </c>
      <c r="L133" s="35">
        <f t="shared" si="108"/>
        <v>30000</v>
      </c>
      <c r="M133" s="35">
        <f t="shared" si="108"/>
        <v>0</v>
      </c>
      <c r="N133" s="35">
        <f>M133/L133*100</f>
        <v>0</v>
      </c>
      <c r="O133" s="35">
        <f>SUMIF($B$134:$B$136,"=01",O134:O136)</f>
        <v>0</v>
      </c>
      <c r="P133" s="35">
        <f>SUMIF($B$134:$B$136,"=01",P134:P136)</f>
        <v>0</v>
      </c>
      <c r="Q133" s="35">
        <f>SUMIF($B$134:$B$136,"=01",Q134:Q136)</f>
        <v>30000</v>
      </c>
      <c r="R133" s="35">
        <f t="shared" ref="R133:S133" si="109">SUMIF($B$134:$B$136,"=01",R134:R136)</f>
        <v>30000</v>
      </c>
      <c r="S133" s="35">
        <f t="shared" si="109"/>
        <v>0</v>
      </c>
      <c r="T133" s="49"/>
    </row>
    <row r="134" spans="1:20" ht="47.25">
      <c r="A134" s="112" t="s">
        <v>191</v>
      </c>
      <c r="B134" s="64" t="s">
        <v>26</v>
      </c>
      <c r="C134" s="56" t="s">
        <v>192</v>
      </c>
      <c r="D134" s="57">
        <v>16000</v>
      </c>
      <c r="E134" s="58">
        <f t="shared" ref="E134:J136" si="110">D134</f>
        <v>16000</v>
      </c>
      <c r="F134" s="60">
        <f t="shared" si="110"/>
        <v>16000</v>
      </c>
      <c r="G134" s="60">
        <f>F134+4224</f>
        <v>20224</v>
      </c>
      <c r="H134" s="60">
        <f t="shared" si="110"/>
        <v>20224</v>
      </c>
      <c r="I134" s="60">
        <f t="shared" si="110"/>
        <v>20224</v>
      </c>
      <c r="J134" s="60">
        <f t="shared" si="110"/>
        <v>20224</v>
      </c>
      <c r="K134" s="60">
        <f t="shared" ref="K134:K136" si="111">G134</f>
        <v>20224</v>
      </c>
      <c r="L134" s="60">
        <f>K134</f>
        <v>20224</v>
      </c>
      <c r="M134" s="61"/>
      <c r="N134" s="61">
        <f t="shared" ref="N134:N136" si="112">M134/L134*100</f>
        <v>0</v>
      </c>
      <c r="O134" s="69">
        <f t="shared" ref="O134:O136" si="113">M134</f>
        <v>0</v>
      </c>
      <c r="P134" s="61">
        <f>M134-O134</f>
        <v>0</v>
      </c>
      <c r="Q134" s="61">
        <f>J134-M134</f>
        <v>20224</v>
      </c>
      <c r="R134" s="62">
        <f>F134</f>
        <v>16000</v>
      </c>
      <c r="S134" s="62">
        <f t="shared" si="71"/>
        <v>0</v>
      </c>
      <c r="T134" s="19"/>
    </row>
    <row r="135" spans="1:20" ht="94.5">
      <c r="A135" s="86" t="s">
        <v>193</v>
      </c>
      <c r="B135" s="64" t="s">
        <v>26</v>
      </c>
      <c r="C135" s="56" t="s">
        <v>194</v>
      </c>
      <c r="D135" s="57">
        <v>1360</v>
      </c>
      <c r="E135" s="58">
        <f t="shared" si="110"/>
        <v>1360</v>
      </c>
      <c r="F135" s="60">
        <f t="shared" si="110"/>
        <v>1360</v>
      </c>
      <c r="G135" s="60">
        <f>F135+2640</f>
        <v>4000</v>
      </c>
      <c r="H135" s="60">
        <f t="shared" si="110"/>
        <v>4000</v>
      </c>
      <c r="I135" s="60">
        <f t="shared" si="110"/>
        <v>4000</v>
      </c>
      <c r="J135" s="60">
        <f t="shared" si="110"/>
        <v>4000</v>
      </c>
      <c r="K135" s="60">
        <f t="shared" si="111"/>
        <v>4000</v>
      </c>
      <c r="L135" s="60">
        <f>K135</f>
        <v>4000</v>
      </c>
      <c r="M135" s="61"/>
      <c r="N135" s="61">
        <f t="shared" si="112"/>
        <v>0</v>
      </c>
      <c r="O135" s="69">
        <f t="shared" si="113"/>
        <v>0</v>
      </c>
      <c r="P135" s="61">
        <f>M135-O135</f>
        <v>0</v>
      </c>
      <c r="Q135" s="61">
        <f>J135-M135</f>
        <v>4000</v>
      </c>
      <c r="R135" s="62">
        <f t="shared" ref="R135:R136" si="114">F135</f>
        <v>1360</v>
      </c>
      <c r="S135" s="62">
        <f t="shared" si="71"/>
        <v>0</v>
      </c>
      <c r="T135" s="19"/>
    </row>
    <row r="136" spans="1:20" ht="94.5">
      <c r="A136" s="86" t="s">
        <v>195</v>
      </c>
      <c r="B136" s="64" t="s">
        <v>26</v>
      </c>
      <c r="C136" s="56" t="s">
        <v>196</v>
      </c>
      <c r="D136" s="57">
        <v>12640</v>
      </c>
      <c r="E136" s="58">
        <f>D136</f>
        <v>12640</v>
      </c>
      <c r="F136" s="60">
        <f>E136</f>
        <v>12640</v>
      </c>
      <c r="G136" s="60">
        <f>F136-6864</f>
        <v>5776</v>
      </c>
      <c r="H136" s="60">
        <f>G136</f>
        <v>5776</v>
      </c>
      <c r="I136" s="60">
        <f t="shared" si="110"/>
        <v>5776</v>
      </c>
      <c r="J136" s="60">
        <f t="shared" si="110"/>
        <v>5776</v>
      </c>
      <c r="K136" s="60">
        <f t="shared" si="111"/>
        <v>5776</v>
      </c>
      <c r="L136" s="60">
        <f>K136</f>
        <v>5776</v>
      </c>
      <c r="M136" s="61"/>
      <c r="N136" s="61">
        <f t="shared" si="112"/>
        <v>0</v>
      </c>
      <c r="O136" s="69">
        <f t="shared" si="113"/>
        <v>0</v>
      </c>
      <c r="P136" s="61">
        <f>M136-O136</f>
        <v>0</v>
      </c>
      <c r="Q136" s="61">
        <f>J136-M136</f>
        <v>5776</v>
      </c>
      <c r="R136" s="62">
        <f t="shared" si="114"/>
        <v>12640</v>
      </c>
      <c r="S136" s="62">
        <f t="shared" si="71"/>
        <v>0</v>
      </c>
      <c r="T136" s="19"/>
    </row>
    <row r="137" spans="1:20" s="50" customFormat="1" ht="34.5" customHeight="1">
      <c r="A137" s="46" t="s">
        <v>197</v>
      </c>
      <c r="B137" s="51" t="s">
        <v>26</v>
      </c>
      <c r="C137" s="84">
        <f>SUM(C139,C143,C148:C152)</f>
        <v>0</v>
      </c>
      <c r="D137" s="48">
        <f>D138</f>
        <v>1426209.5</v>
      </c>
      <c r="E137" s="48">
        <f t="shared" ref="E137:S137" si="115">E138</f>
        <v>1426209.5</v>
      </c>
      <c r="F137" s="48">
        <f t="shared" si="115"/>
        <v>1426209.5</v>
      </c>
      <c r="G137" s="48">
        <f t="shared" si="115"/>
        <v>1431637</v>
      </c>
      <c r="H137" s="48">
        <f t="shared" si="115"/>
        <v>1431637</v>
      </c>
      <c r="I137" s="48">
        <f t="shared" si="115"/>
        <v>1431637</v>
      </c>
      <c r="J137" s="48">
        <f t="shared" si="115"/>
        <v>1431637</v>
      </c>
      <c r="K137" s="48">
        <f t="shared" si="115"/>
        <v>1431637</v>
      </c>
      <c r="L137" s="48">
        <f t="shared" si="115"/>
        <v>1431637</v>
      </c>
      <c r="M137" s="48">
        <f>M138</f>
        <v>633953.86844999995</v>
      </c>
      <c r="N137" s="48">
        <f>M137/L137*100</f>
        <v>44.281746591489316</v>
      </c>
      <c r="O137" s="48">
        <f t="shared" si="115"/>
        <v>617710.85046999995</v>
      </c>
      <c r="P137" s="48">
        <f t="shared" si="115"/>
        <v>16243.01798000003</v>
      </c>
      <c r="Q137" s="48">
        <f t="shared" si="115"/>
        <v>797683.13155000017</v>
      </c>
      <c r="R137" s="48">
        <f t="shared" si="115"/>
        <v>1425595.3</v>
      </c>
      <c r="S137" s="48">
        <f t="shared" si="115"/>
        <v>-614.20000000000141</v>
      </c>
      <c r="T137" s="49"/>
    </row>
    <row r="138" spans="1:20" s="50" customFormat="1">
      <c r="A138" s="40" t="s">
        <v>25</v>
      </c>
      <c r="B138" s="51" t="s">
        <v>26</v>
      </c>
      <c r="C138" s="85"/>
      <c r="D138" s="35">
        <f>SUMIF($B$139:$B$152,"=01",D139:D152)</f>
        <v>1426209.5</v>
      </c>
      <c r="E138" s="35">
        <f t="shared" ref="E138:S138" si="116">SUMIF($B$139:$B$152,"=01",E139:E152)</f>
        <v>1426209.5</v>
      </c>
      <c r="F138" s="35">
        <f t="shared" si="116"/>
        <v>1426209.5</v>
      </c>
      <c r="G138" s="35">
        <f t="shared" si="116"/>
        <v>1431637</v>
      </c>
      <c r="H138" s="35">
        <f t="shared" si="116"/>
        <v>1431637</v>
      </c>
      <c r="I138" s="35">
        <f t="shared" si="116"/>
        <v>1431637</v>
      </c>
      <c r="J138" s="35">
        <f t="shared" si="116"/>
        <v>1431637</v>
      </c>
      <c r="K138" s="35">
        <f t="shared" si="116"/>
        <v>1431637</v>
      </c>
      <c r="L138" s="35">
        <f t="shared" si="116"/>
        <v>1431637</v>
      </c>
      <c r="M138" s="35">
        <f>SUMIF($B$139:$B$152,"=01",M139:M152)</f>
        <v>633953.86844999995</v>
      </c>
      <c r="N138" s="35">
        <f>M138/L138*100</f>
        <v>44.281746591489316</v>
      </c>
      <c r="O138" s="35">
        <f t="shared" si="116"/>
        <v>617710.85046999995</v>
      </c>
      <c r="P138" s="35">
        <f t="shared" si="116"/>
        <v>16243.01798000003</v>
      </c>
      <c r="Q138" s="35">
        <f t="shared" si="116"/>
        <v>797683.13155000017</v>
      </c>
      <c r="R138" s="35">
        <f t="shared" si="116"/>
        <v>1425595.3</v>
      </c>
      <c r="S138" s="35">
        <f t="shared" si="116"/>
        <v>-614.20000000000141</v>
      </c>
      <c r="T138" s="49"/>
    </row>
    <row r="139" spans="1:20" s="119" customFormat="1" ht="31.5">
      <c r="A139" s="113" t="s">
        <v>198</v>
      </c>
      <c r="B139" s="114"/>
      <c r="C139" s="115">
        <f>SUM(C140:C142)</f>
        <v>0</v>
      </c>
      <c r="D139" s="116">
        <f>SUM(D140:D142)</f>
        <v>225797.5</v>
      </c>
      <c r="E139" s="116">
        <f>SUM(E140:E142)</f>
        <v>225797.5</v>
      </c>
      <c r="F139" s="116">
        <f t="shared" ref="F139:Q139" si="117">SUM(F140:F142)</f>
        <v>225797.5</v>
      </c>
      <c r="G139" s="116">
        <f t="shared" si="117"/>
        <v>225797.5</v>
      </c>
      <c r="H139" s="116">
        <f t="shared" si="117"/>
        <v>225797.5</v>
      </c>
      <c r="I139" s="116">
        <f t="shared" si="117"/>
        <v>225797.5</v>
      </c>
      <c r="J139" s="116">
        <f t="shared" si="117"/>
        <v>225797.5</v>
      </c>
      <c r="K139" s="116">
        <f t="shared" si="117"/>
        <v>225797.5</v>
      </c>
      <c r="L139" s="116">
        <f t="shared" si="117"/>
        <v>225797.5</v>
      </c>
      <c r="M139" s="61">
        <f>SUM(M140:M142)</f>
        <v>109736.32144999999</v>
      </c>
      <c r="N139" s="61">
        <f t="shared" ref="N139:N151" si="118">M139/L139*100</f>
        <v>48.599440405673221</v>
      </c>
      <c r="O139" s="61">
        <f t="shared" ref="O139:O144" si="119">M139</f>
        <v>109736.32144999999</v>
      </c>
      <c r="P139" s="116">
        <f t="shared" si="117"/>
        <v>3668.8786300000029</v>
      </c>
      <c r="Q139" s="116">
        <f t="shared" si="117"/>
        <v>116061.17855000001</v>
      </c>
      <c r="R139" s="117">
        <f>F139</f>
        <v>225797.5</v>
      </c>
      <c r="S139" s="62">
        <f t="shared" si="71"/>
        <v>0</v>
      </c>
      <c r="T139" s="118"/>
    </row>
    <row r="140" spans="1:20">
      <c r="A140" s="86" t="s">
        <v>199</v>
      </c>
      <c r="B140" s="64" t="s">
        <v>26</v>
      </c>
      <c r="C140" s="56" t="s">
        <v>200</v>
      </c>
      <c r="D140" s="57">
        <v>105938.2</v>
      </c>
      <c r="E140" s="58">
        <f t="shared" ref="E140:J153" si="120">D140</f>
        <v>105938.2</v>
      </c>
      <c r="F140" s="60">
        <f t="shared" si="120"/>
        <v>105938.2</v>
      </c>
      <c r="G140" s="60">
        <f t="shared" si="120"/>
        <v>105938.2</v>
      </c>
      <c r="H140" s="60">
        <f t="shared" si="120"/>
        <v>105938.2</v>
      </c>
      <c r="I140" s="60">
        <f t="shared" si="120"/>
        <v>105938.2</v>
      </c>
      <c r="J140" s="60">
        <f t="shared" si="120"/>
        <v>105938.2</v>
      </c>
      <c r="K140" s="60">
        <f t="shared" ref="K140:K142" si="121">G140</f>
        <v>105938.2</v>
      </c>
      <c r="L140" s="60">
        <f t="shared" ref="L140:L153" si="122">K140</f>
        <v>105938.2</v>
      </c>
      <c r="M140" s="61">
        <v>53846.011449999998</v>
      </c>
      <c r="N140" s="61">
        <f t="shared" si="118"/>
        <v>50.827757551100547</v>
      </c>
      <c r="O140" s="61">
        <v>50953.839849999997</v>
      </c>
      <c r="P140" s="61">
        <f>M140-O140</f>
        <v>2892.1716000000015</v>
      </c>
      <c r="Q140" s="61">
        <f>J140-M140</f>
        <v>52092.188549999999</v>
      </c>
      <c r="R140" s="117">
        <f t="shared" ref="R140:R152" si="123">F140</f>
        <v>105938.2</v>
      </c>
      <c r="S140" s="62">
        <f t="shared" si="71"/>
        <v>0</v>
      </c>
      <c r="T140" s="19"/>
    </row>
    <row r="141" spans="1:20" s="121" customFormat="1">
      <c r="A141" s="86" t="s">
        <v>201</v>
      </c>
      <c r="B141" s="64" t="s">
        <v>26</v>
      </c>
      <c r="C141" s="56" t="s">
        <v>200</v>
      </c>
      <c r="D141" s="57">
        <v>40316.699999999997</v>
      </c>
      <c r="E141" s="58">
        <f t="shared" si="120"/>
        <v>40316.699999999997</v>
      </c>
      <c r="F141" s="60">
        <f t="shared" si="120"/>
        <v>40316.699999999997</v>
      </c>
      <c r="G141" s="60">
        <f t="shared" si="120"/>
        <v>40316.699999999997</v>
      </c>
      <c r="H141" s="60">
        <f t="shared" si="120"/>
        <v>40316.699999999997</v>
      </c>
      <c r="I141" s="60">
        <f t="shared" si="120"/>
        <v>40316.699999999997</v>
      </c>
      <c r="J141" s="60">
        <f t="shared" si="120"/>
        <v>40316.699999999997</v>
      </c>
      <c r="K141" s="60">
        <f t="shared" si="121"/>
        <v>40316.699999999997</v>
      </c>
      <c r="L141" s="60">
        <f t="shared" si="122"/>
        <v>40316.699999999997</v>
      </c>
      <c r="M141" s="61">
        <v>18570.91</v>
      </c>
      <c r="N141" s="61">
        <f t="shared" si="118"/>
        <v>46.062574565874691</v>
      </c>
      <c r="O141" s="61">
        <v>17794.202969999998</v>
      </c>
      <c r="P141" s="61">
        <f>M141-O141</f>
        <v>776.7070300000014</v>
      </c>
      <c r="Q141" s="61">
        <f>J141-M141</f>
        <v>21745.789999999997</v>
      </c>
      <c r="R141" s="117">
        <f t="shared" si="123"/>
        <v>40316.699999999997</v>
      </c>
      <c r="S141" s="62">
        <f t="shared" si="71"/>
        <v>0</v>
      </c>
      <c r="T141" s="120"/>
    </row>
    <row r="142" spans="1:20" s="121" customFormat="1">
      <c r="A142" s="86" t="s">
        <v>202</v>
      </c>
      <c r="B142" s="64" t="s">
        <v>26</v>
      </c>
      <c r="C142" s="56" t="s">
        <v>200</v>
      </c>
      <c r="D142" s="57">
        <v>79542.600000000006</v>
      </c>
      <c r="E142" s="58">
        <f t="shared" si="120"/>
        <v>79542.600000000006</v>
      </c>
      <c r="F142" s="60">
        <f t="shared" si="120"/>
        <v>79542.600000000006</v>
      </c>
      <c r="G142" s="60">
        <f t="shared" si="120"/>
        <v>79542.600000000006</v>
      </c>
      <c r="H142" s="60">
        <f t="shared" si="120"/>
        <v>79542.600000000006</v>
      </c>
      <c r="I142" s="60">
        <f t="shared" si="120"/>
        <v>79542.600000000006</v>
      </c>
      <c r="J142" s="60">
        <f t="shared" si="120"/>
        <v>79542.600000000006</v>
      </c>
      <c r="K142" s="60">
        <f t="shared" si="121"/>
        <v>79542.600000000006</v>
      </c>
      <c r="L142" s="60">
        <f t="shared" si="122"/>
        <v>79542.600000000006</v>
      </c>
      <c r="M142" s="61">
        <v>37319.4</v>
      </c>
      <c r="N142" s="61">
        <f t="shared" si="118"/>
        <v>46.917500810886246</v>
      </c>
      <c r="O142" s="61">
        <f t="shared" si="119"/>
        <v>37319.4</v>
      </c>
      <c r="P142" s="61">
        <f>M142-O142</f>
        <v>0</v>
      </c>
      <c r="Q142" s="61">
        <f>J142-M142</f>
        <v>42223.200000000004</v>
      </c>
      <c r="R142" s="117">
        <f t="shared" si="123"/>
        <v>79542.600000000006</v>
      </c>
      <c r="S142" s="62">
        <f t="shared" si="71"/>
        <v>0</v>
      </c>
      <c r="T142" s="120"/>
    </row>
    <row r="143" spans="1:20" s="124" customFormat="1" ht="31.5">
      <c r="A143" s="113" t="s">
        <v>203</v>
      </c>
      <c r="B143" s="114"/>
      <c r="C143" s="122"/>
      <c r="D143" s="116">
        <f>SUM(D144:D147)</f>
        <v>1039428.2999999998</v>
      </c>
      <c r="E143" s="116">
        <f t="shared" ref="E143:Q143" si="124">SUM(E144:E147)</f>
        <v>1039428.2999999998</v>
      </c>
      <c r="F143" s="116">
        <f t="shared" si="124"/>
        <v>1040428.2999999998</v>
      </c>
      <c r="G143" s="116">
        <f t="shared" si="124"/>
        <v>1040428.2999999998</v>
      </c>
      <c r="H143" s="116">
        <f t="shared" si="124"/>
        <v>1040428.2999999998</v>
      </c>
      <c r="I143" s="116">
        <f t="shared" si="124"/>
        <v>1040428.2999999998</v>
      </c>
      <c r="J143" s="116">
        <f t="shared" si="124"/>
        <v>1040428.2999999998</v>
      </c>
      <c r="K143" s="116">
        <f t="shared" si="124"/>
        <v>1040428.2999999998</v>
      </c>
      <c r="L143" s="116">
        <f t="shared" si="124"/>
        <v>1040428.2999999998</v>
      </c>
      <c r="M143" s="61">
        <f>SUM(M144:M147)</f>
        <v>464657.21079000004</v>
      </c>
      <c r="N143" s="61">
        <f t="shared" si="118"/>
        <v>44.660185693718645</v>
      </c>
      <c r="O143" s="61">
        <f t="shared" si="119"/>
        <v>464657.21079000004</v>
      </c>
      <c r="P143" s="116">
        <f t="shared" si="124"/>
        <v>12574.139350000027</v>
      </c>
      <c r="Q143" s="116">
        <f t="shared" si="124"/>
        <v>575771.08921000001</v>
      </c>
      <c r="R143" s="117">
        <f t="shared" si="123"/>
        <v>1040428.2999999998</v>
      </c>
      <c r="S143" s="62">
        <f t="shared" si="71"/>
        <v>0</v>
      </c>
      <c r="T143" s="123"/>
    </row>
    <row r="144" spans="1:20" s="121" customFormat="1" ht="33.75" customHeight="1">
      <c r="A144" s="86" t="s">
        <v>204</v>
      </c>
      <c r="B144" s="64" t="s">
        <v>26</v>
      </c>
      <c r="C144" s="56" t="s">
        <v>205</v>
      </c>
      <c r="D144" s="57">
        <v>27058.2</v>
      </c>
      <c r="E144" s="58">
        <f t="shared" si="120"/>
        <v>27058.2</v>
      </c>
      <c r="F144" s="59">
        <f>E144+1000</f>
        <v>28058.2</v>
      </c>
      <c r="G144" s="60">
        <f t="shared" si="120"/>
        <v>28058.2</v>
      </c>
      <c r="H144" s="60">
        <f t="shared" si="120"/>
        <v>28058.2</v>
      </c>
      <c r="I144" s="60">
        <f t="shared" si="120"/>
        <v>28058.2</v>
      </c>
      <c r="J144" s="60">
        <f t="shared" si="120"/>
        <v>28058.2</v>
      </c>
      <c r="K144" s="60">
        <f t="shared" ref="K144:K153" si="125">G144</f>
        <v>28058.2</v>
      </c>
      <c r="L144" s="60">
        <f t="shared" si="122"/>
        <v>28058.2</v>
      </c>
      <c r="M144" s="61">
        <v>8882.7000000000007</v>
      </c>
      <c r="N144" s="61">
        <f t="shared" si="118"/>
        <v>31.658124897534414</v>
      </c>
      <c r="O144" s="61">
        <f t="shared" si="119"/>
        <v>8882.7000000000007</v>
      </c>
      <c r="P144" s="61">
        <f t="shared" ref="P144:P153" si="126">M144-O144</f>
        <v>0</v>
      </c>
      <c r="Q144" s="61">
        <f t="shared" ref="Q144:Q153" si="127">J144-M144</f>
        <v>19175.5</v>
      </c>
      <c r="R144" s="117">
        <f t="shared" si="123"/>
        <v>28058.2</v>
      </c>
      <c r="S144" s="62">
        <f t="shared" si="71"/>
        <v>0</v>
      </c>
      <c r="T144" s="120"/>
    </row>
    <row r="145" spans="1:20" s="121" customFormat="1" ht="25.5" customHeight="1">
      <c r="A145" s="125" t="s">
        <v>206</v>
      </c>
      <c r="B145" s="126" t="s">
        <v>26</v>
      </c>
      <c r="C145" s="56" t="s">
        <v>205</v>
      </c>
      <c r="D145" s="57">
        <v>780009.1</v>
      </c>
      <c r="E145" s="58">
        <f t="shared" si="120"/>
        <v>780009.1</v>
      </c>
      <c r="F145" s="60">
        <f t="shared" si="120"/>
        <v>780009.1</v>
      </c>
      <c r="G145" s="60">
        <f t="shared" si="120"/>
        <v>780009.1</v>
      </c>
      <c r="H145" s="60">
        <f t="shared" si="120"/>
        <v>780009.1</v>
      </c>
      <c r="I145" s="60">
        <f t="shared" si="120"/>
        <v>780009.1</v>
      </c>
      <c r="J145" s="60">
        <f t="shared" si="120"/>
        <v>780009.1</v>
      </c>
      <c r="K145" s="60">
        <f t="shared" si="125"/>
        <v>780009.1</v>
      </c>
      <c r="L145" s="60">
        <f t="shared" si="122"/>
        <v>780009.1</v>
      </c>
      <c r="M145" s="61">
        <v>364378.79686</v>
      </c>
      <c r="N145" s="61">
        <f t="shared" si="118"/>
        <v>46.714685362004111</v>
      </c>
      <c r="O145" s="61">
        <v>355959.89146999997</v>
      </c>
      <c r="P145" s="61">
        <f t="shared" si="126"/>
        <v>8418.905390000029</v>
      </c>
      <c r="Q145" s="61">
        <f t="shared" si="127"/>
        <v>415630.30313999997</v>
      </c>
      <c r="R145" s="117">
        <f t="shared" si="123"/>
        <v>780009.1</v>
      </c>
      <c r="S145" s="62">
        <f t="shared" si="71"/>
        <v>0</v>
      </c>
      <c r="T145" s="120"/>
    </row>
    <row r="146" spans="1:20" s="121" customFormat="1" ht="30.75" customHeight="1">
      <c r="A146" s="86" t="s">
        <v>207</v>
      </c>
      <c r="B146" s="64" t="s">
        <v>26</v>
      </c>
      <c r="C146" s="127" t="s">
        <v>208</v>
      </c>
      <c r="D146" s="57">
        <v>231592.3</v>
      </c>
      <c r="E146" s="58">
        <f t="shared" si="120"/>
        <v>231592.3</v>
      </c>
      <c r="F146" s="60">
        <f t="shared" si="120"/>
        <v>231592.3</v>
      </c>
      <c r="G146" s="60">
        <f t="shared" si="120"/>
        <v>231592.3</v>
      </c>
      <c r="H146" s="60">
        <f t="shared" si="120"/>
        <v>231592.3</v>
      </c>
      <c r="I146" s="60">
        <f t="shared" si="120"/>
        <v>231592.3</v>
      </c>
      <c r="J146" s="60">
        <f t="shared" si="120"/>
        <v>231592.3</v>
      </c>
      <c r="K146" s="60">
        <f t="shared" si="125"/>
        <v>231592.3</v>
      </c>
      <c r="L146" s="60">
        <f t="shared" si="122"/>
        <v>231592.3</v>
      </c>
      <c r="M146" s="61">
        <v>91357.495790000001</v>
      </c>
      <c r="N146" s="61">
        <f t="shared" si="118"/>
        <v>39.447553217442902</v>
      </c>
      <c r="O146" s="61">
        <v>87202.261830000003</v>
      </c>
      <c r="P146" s="61">
        <f t="shared" si="126"/>
        <v>4155.2339599999978</v>
      </c>
      <c r="Q146" s="61">
        <f t="shared" si="127"/>
        <v>140234.80420999997</v>
      </c>
      <c r="R146" s="117">
        <f t="shared" si="123"/>
        <v>231592.3</v>
      </c>
      <c r="S146" s="62">
        <f t="shared" si="71"/>
        <v>0</v>
      </c>
      <c r="T146" s="120"/>
    </row>
    <row r="147" spans="1:20" s="121" customFormat="1">
      <c r="A147" s="128" t="s">
        <v>209</v>
      </c>
      <c r="B147" s="64" t="s">
        <v>26</v>
      </c>
      <c r="C147" s="127" t="s">
        <v>210</v>
      </c>
      <c r="D147" s="57">
        <v>768.7</v>
      </c>
      <c r="E147" s="58">
        <f t="shared" si="120"/>
        <v>768.7</v>
      </c>
      <c r="F147" s="60">
        <f t="shared" si="120"/>
        <v>768.7</v>
      </c>
      <c r="G147" s="60">
        <f t="shared" si="120"/>
        <v>768.7</v>
      </c>
      <c r="H147" s="60">
        <f t="shared" si="120"/>
        <v>768.7</v>
      </c>
      <c r="I147" s="60">
        <f t="shared" si="120"/>
        <v>768.7</v>
      </c>
      <c r="J147" s="60">
        <f t="shared" si="120"/>
        <v>768.7</v>
      </c>
      <c r="K147" s="60">
        <f t="shared" si="125"/>
        <v>768.7</v>
      </c>
      <c r="L147" s="60">
        <f t="shared" si="122"/>
        <v>768.7</v>
      </c>
      <c r="M147" s="61">
        <f t="shared" ref="M147:M149" si="128">O147</f>
        <v>38.218139999999998</v>
      </c>
      <c r="N147" s="61">
        <f t="shared" si="118"/>
        <v>4.9717887342266156</v>
      </c>
      <c r="O147" s="61">
        <v>38.218139999999998</v>
      </c>
      <c r="P147" s="61">
        <f t="shared" si="126"/>
        <v>0</v>
      </c>
      <c r="Q147" s="61">
        <f t="shared" si="127"/>
        <v>730.4818600000001</v>
      </c>
      <c r="R147" s="117">
        <f t="shared" si="123"/>
        <v>768.7</v>
      </c>
      <c r="S147" s="62">
        <f t="shared" si="71"/>
        <v>0</v>
      </c>
      <c r="T147" s="120"/>
    </row>
    <row r="148" spans="1:20" ht="63">
      <c r="A148" s="63" t="s">
        <v>211</v>
      </c>
      <c r="B148" s="64" t="s">
        <v>26</v>
      </c>
      <c r="C148" s="56" t="s">
        <v>212</v>
      </c>
      <c r="D148" s="57">
        <v>904.5</v>
      </c>
      <c r="E148" s="58">
        <f t="shared" si="120"/>
        <v>904.5</v>
      </c>
      <c r="F148" s="60">
        <f t="shared" si="120"/>
        <v>904.5</v>
      </c>
      <c r="G148" s="60">
        <f t="shared" si="120"/>
        <v>904.5</v>
      </c>
      <c r="H148" s="60">
        <f t="shared" si="120"/>
        <v>904.5</v>
      </c>
      <c r="I148" s="60">
        <f t="shared" si="120"/>
        <v>904.5</v>
      </c>
      <c r="J148" s="60">
        <f t="shared" si="120"/>
        <v>904.5</v>
      </c>
      <c r="K148" s="60">
        <f t="shared" si="125"/>
        <v>904.5</v>
      </c>
      <c r="L148" s="60">
        <f t="shared" si="122"/>
        <v>904.5</v>
      </c>
      <c r="M148" s="61">
        <f t="shared" si="128"/>
        <v>182.98</v>
      </c>
      <c r="N148" s="61">
        <f t="shared" si="118"/>
        <v>20.229961304588169</v>
      </c>
      <c r="O148" s="61">
        <v>182.98</v>
      </c>
      <c r="P148" s="61">
        <f t="shared" si="126"/>
        <v>0</v>
      </c>
      <c r="Q148" s="61">
        <f t="shared" si="127"/>
        <v>721.52</v>
      </c>
      <c r="R148" s="117">
        <f t="shared" si="123"/>
        <v>904.5</v>
      </c>
      <c r="S148" s="62">
        <f t="shared" si="71"/>
        <v>0</v>
      </c>
      <c r="T148" s="19"/>
    </row>
    <row r="149" spans="1:20" ht="63">
      <c r="A149" s="75" t="s">
        <v>213</v>
      </c>
      <c r="B149" s="64" t="s">
        <v>26</v>
      </c>
      <c r="C149" s="56" t="s">
        <v>214</v>
      </c>
      <c r="D149" s="57">
        <v>55331.7</v>
      </c>
      <c r="E149" s="58">
        <f t="shared" si="120"/>
        <v>55331.7</v>
      </c>
      <c r="F149" s="59">
        <f>E149-1000</f>
        <v>54331.7</v>
      </c>
      <c r="G149" s="60">
        <f t="shared" si="120"/>
        <v>54331.7</v>
      </c>
      <c r="H149" s="60">
        <f t="shared" si="120"/>
        <v>54331.7</v>
      </c>
      <c r="I149" s="60">
        <f t="shared" si="120"/>
        <v>54331.7</v>
      </c>
      <c r="J149" s="60">
        <f t="shared" si="120"/>
        <v>54331.7</v>
      </c>
      <c r="K149" s="60">
        <f t="shared" si="125"/>
        <v>54331.7</v>
      </c>
      <c r="L149" s="60">
        <f t="shared" si="122"/>
        <v>54331.7</v>
      </c>
      <c r="M149" s="61">
        <f t="shared" si="128"/>
        <v>4195.8412500000004</v>
      </c>
      <c r="N149" s="61">
        <f t="shared" si="118"/>
        <v>7.7226393615513604</v>
      </c>
      <c r="O149" s="61">
        <v>4195.8412500000004</v>
      </c>
      <c r="P149" s="61">
        <f t="shared" si="126"/>
        <v>0</v>
      </c>
      <c r="Q149" s="61">
        <f t="shared" si="127"/>
        <v>50135.858749999999</v>
      </c>
      <c r="R149" s="117">
        <f>54331.7-478.4</f>
        <v>53853.299999999996</v>
      </c>
      <c r="S149" s="62">
        <f t="shared" si="71"/>
        <v>-478.40000000000146</v>
      </c>
      <c r="T149" s="19"/>
    </row>
    <row r="150" spans="1:20" ht="78.75">
      <c r="A150" s="75" t="s">
        <v>215</v>
      </c>
      <c r="B150" s="64" t="s">
        <v>26</v>
      </c>
      <c r="C150" s="56" t="s">
        <v>216</v>
      </c>
      <c r="D150" s="57">
        <v>1901.5</v>
      </c>
      <c r="E150" s="58">
        <f t="shared" si="120"/>
        <v>1901.5</v>
      </c>
      <c r="F150" s="60">
        <f t="shared" si="120"/>
        <v>1901.5</v>
      </c>
      <c r="G150" s="60">
        <f t="shared" si="120"/>
        <v>1901.5</v>
      </c>
      <c r="H150" s="60">
        <f t="shared" si="120"/>
        <v>1901.5</v>
      </c>
      <c r="I150" s="60">
        <f t="shared" si="120"/>
        <v>1901.5</v>
      </c>
      <c r="J150" s="60">
        <f t="shared" si="120"/>
        <v>1901.5</v>
      </c>
      <c r="K150" s="60">
        <f t="shared" si="125"/>
        <v>1901.5</v>
      </c>
      <c r="L150" s="60">
        <f t="shared" si="122"/>
        <v>1901.5</v>
      </c>
      <c r="M150" s="61">
        <v>442.39359999999999</v>
      </c>
      <c r="N150" s="61">
        <f t="shared" si="118"/>
        <v>23.265506179332107</v>
      </c>
      <c r="O150" s="61">
        <v>442.39359999999999</v>
      </c>
      <c r="P150" s="61">
        <f t="shared" si="126"/>
        <v>0</v>
      </c>
      <c r="Q150" s="61">
        <f t="shared" si="127"/>
        <v>1459.1064000000001</v>
      </c>
      <c r="R150" s="117">
        <f>1901.5-135.8</f>
        <v>1765.7</v>
      </c>
      <c r="S150" s="62">
        <f t="shared" si="71"/>
        <v>-135.79999999999995</v>
      </c>
      <c r="T150" s="19"/>
    </row>
    <row r="151" spans="1:20">
      <c r="A151" s="75" t="s">
        <v>217</v>
      </c>
      <c r="B151" s="64" t="s">
        <v>26</v>
      </c>
      <c r="C151" s="56" t="s">
        <v>218</v>
      </c>
      <c r="D151" s="57">
        <v>3600</v>
      </c>
      <c r="E151" s="58">
        <f t="shared" si="120"/>
        <v>3600</v>
      </c>
      <c r="F151" s="60">
        <f t="shared" si="120"/>
        <v>3600</v>
      </c>
      <c r="G151" s="60">
        <f>F151+5427.5</f>
        <v>9027.5</v>
      </c>
      <c r="H151" s="60">
        <f t="shared" si="120"/>
        <v>9027.5</v>
      </c>
      <c r="I151" s="60">
        <f t="shared" si="120"/>
        <v>9027.5</v>
      </c>
      <c r="J151" s="60">
        <f t="shared" si="120"/>
        <v>9027.5</v>
      </c>
      <c r="K151" s="60">
        <f t="shared" si="125"/>
        <v>9027.5</v>
      </c>
      <c r="L151" s="60">
        <f t="shared" si="122"/>
        <v>9027.5</v>
      </c>
      <c r="M151" s="61">
        <v>1686.5713599999999</v>
      </c>
      <c r="N151" s="61">
        <f t="shared" si="118"/>
        <v>18.682596067571307</v>
      </c>
      <c r="O151" s="61">
        <v>1686.5713599999999</v>
      </c>
      <c r="P151" s="61">
        <f t="shared" si="126"/>
        <v>0</v>
      </c>
      <c r="Q151" s="61">
        <f t="shared" si="127"/>
        <v>7340.9286400000001</v>
      </c>
      <c r="R151" s="117">
        <f t="shared" si="123"/>
        <v>3600</v>
      </c>
      <c r="S151" s="62">
        <f t="shared" si="71"/>
        <v>0</v>
      </c>
      <c r="T151" s="19"/>
    </row>
    <row r="152" spans="1:20" ht="47.25">
      <c r="A152" s="86" t="s">
        <v>219</v>
      </c>
      <c r="B152" s="64" t="s">
        <v>26</v>
      </c>
      <c r="C152" s="56" t="s">
        <v>220</v>
      </c>
      <c r="D152" s="57">
        <v>99246</v>
      </c>
      <c r="E152" s="58">
        <f t="shared" si="120"/>
        <v>99246</v>
      </c>
      <c r="F152" s="60">
        <f t="shared" si="120"/>
        <v>99246</v>
      </c>
      <c r="G152" s="60">
        <f t="shared" si="120"/>
        <v>99246</v>
      </c>
      <c r="H152" s="60">
        <f t="shared" si="120"/>
        <v>99246</v>
      </c>
      <c r="I152" s="60">
        <f t="shared" si="120"/>
        <v>99246</v>
      </c>
      <c r="J152" s="60">
        <f t="shared" si="120"/>
        <v>99246</v>
      </c>
      <c r="K152" s="60">
        <f t="shared" si="125"/>
        <v>99246</v>
      </c>
      <c r="L152" s="60">
        <f t="shared" si="122"/>
        <v>99246</v>
      </c>
      <c r="M152" s="61">
        <f>O152</f>
        <v>53052.55</v>
      </c>
      <c r="N152" s="61">
        <f>M152/L152*100</f>
        <v>53.455605263688213</v>
      </c>
      <c r="O152" s="61">
        <v>53052.55</v>
      </c>
      <c r="P152" s="61">
        <f t="shared" si="126"/>
        <v>0</v>
      </c>
      <c r="Q152" s="61">
        <f t="shared" si="127"/>
        <v>46193.45</v>
      </c>
      <c r="R152" s="117">
        <f t="shared" si="123"/>
        <v>99246</v>
      </c>
      <c r="S152" s="62">
        <f t="shared" si="71"/>
        <v>0</v>
      </c>
      <c r="T152" s="19"/>
    </row>
    <row r="153" spans="1:20" ht="63" hidden="1">
      <c r="A153" s="26" t="s">
        <v>221</v>
      </c>
      <c r="B153" s="129" t="s">
        <v>26</v>
      </c>
      <c r="C153" s="29" t="s">
        <v>222</v>
      </c>
      <c r="D153" s="130">
        <v>15266.56516</v>
      </c>
      <c r="E153" s="130">
        <f t="shared" si="120"/>
        <v>15266.56516</v>
      </c>
      <c r="F153" s="130">
        <f t="shared" si="120"/>
        <v>15266.56516</v>
      </c>
      <c r="G153" s="130">
        <f t="shared" si="120"/>
        <v>15266.56516</v>
      </c>
      <c r="H153" s="130">
        <f t="shared" si="120"/>
        <v>15266.56516</v>
      </c>
      <c r="I153" s="130">
        <f t="shared" si="120"/>
        <v>15266.56516</v>
      </c>
      <c r="J153" s="130">
        <f t="shared" si="120"/>
        <v>15266.56516</v>
      </c>
      <c r="K153" s="130">
        <f t="shared" si="125"/>
        <v>15266.56516</v>
      </c>
      <c r="L153" s="130">
        <f t="shared" si="122"/>
        <v>15266.56516</v>
      </c>
      <c r="M153" s="130">
        <v>6962.7286000000004</v>
      </c>
      <c r="N153" s="130">
        <f>M153/L153*100</f>
        <v>45.607695817806345</v>
      </c>
      <c r="O153" s="130">
        <v>6829.5538900000001</v>
      </c>
      <c r="P153" s="130">
        <f t="shared" si="126"/>
        <v>133.17471000000023</v>
      </c>
      <c r="Q153" s="130">
        <f t="shared" si="127"/>
        <v>8303.8365599999997</v>
      </c>
    </row>
    <row r="157" spans="1:20">
      <c r="A157" s="131"/>
      <c r="B157" s="132"/>
      <c r="C157" s="131"/>
      <c r="D157" s="131"/>
      <c r="E157" s="131"/>
    </row>
    <row r="158" spans="1:20">
      <c r="A158" s="131"/>
      <c r="B158" s="132"/>
      <c r="C158" s="131"/>
      <c r="D158" s="131"/>
      <c r="E158" s="131"/>
    </row>
    <row r="159" spans="1:20">
      <c r="A159" s="131"/>
      <c r="B159" s="132"/>
      <c r="C159" s="131"/>
      <c r="D159" s="131"/>
      <c r="E159" s="131"/>
    </row>
    <row r="160" spans="1:20">
      <c r="A160" s="133"/>
      <c r="B160" s="132"/>
      <c r="C160" s="131"/>
      <c r="D160" s="131"/>
      <c r="E160" s="131"/>
    </row>
    <row r="161" spans="1:5">
      <c r="A161" s="131"/>
      <c r="B161" s="132"/>
      <c r="C161" s="131"/>
      <c r="D161" s="131"/>
      <c r="E161" s="131"/>
    </row>
    <row r="162" spans="1:5">
      <c r="A162" s="131"/>
      <c r="B162" s="132"/>
      <c r="C162" s="131"/>
      <c r="D162" s="131"/>
      <c r="E162" s="131"/>
    </row>
    <row r="163" spans="1:5">
      <c r="A163" s="131"/>
      <c r="B163" s="132"/>
      <c r="C163" s="131"/>
      <c r="D163" s="131"/>
      <c r="E163" s="131"/>
    </row>
    <row r="164" spans="1:5">
      <c r="A164" s="131"/>
      <c r="B164" s="132"/>
      <c r="C164" s="131"/>
      <c r="D164" s="131"/>
      <c r="E164" s="131"/>
    </row>
    <row r="165" spans="1:5">
      <c r="A165" s="131"/>
      <c r="B165" s="132"/>
      <c r="C165" s="131"/>
      <c r="D165" s="131"/>
      <c r="E165" s="131"/>
    </row>
    <row r="166" spans="1:5">
      <c r="A166" s="131"/>
      <c r="B166" s="132"/>
      <c r="C166" s="131"/>
      <c r="D166" s="131"/>
      <c r="E166" s="131"/>
    </row>
    <row r="167" spans="1:5">
      <c r="A167" s="131"/>
      <c r="B167" s="132"/>
      <c r="C167" s="131"/>
      <c r="D167" s="131"/>
      <c r="E167" s="131"/>
    </row>
    <row r="168" spans="1:5">
      <c r="A168" s="131"/>
      <c r="B168" s="132"/>
      <c r="C168" s="131"/>
      <c r="D168" s="131"/>
      <c r="E168" s="131"/>
    </row>
    <row r="169" spans="1:5">
      <c r="A169" s="131"/>
      <c r="B169" s="132"/>
      <c r="C169" s="131"/>
      <c r="D169" s="131"/>
      <c r="E169" s="131"/>
    </row>
    <row r="170" spans="1:5">
      <c r="A170" s="131"/>
      <c r="B170" s="132"/>
      <c r="C170" s="131"/>
      <c r="D170" s="131"/>
      <c r="E170" s="131"/>
    </row>
    <row r="171" spans="1:5">
      <c r="A171" s="131"/>
      <c r="B171" s="132"/>
      <c r="C171" s="131"/>
      <c r="D171" s="131"/>
      <c r="E171" s="131"/>
    </row>
    <row r="172" spans="1:5">
      <c r="A172" s="131"/>
      <c r="B172" s="132"/>
      <c r="C172" s="131"/>
      <c r="D172" s="131"/>
      <c r="E172" s="131"/>
    </row>
  </sheetData>
  <autoFilter ref="A7:T153">
    <filterColumn colId="1">
      <filters blank="1">
        <filter val="01"/>
        <filter val="02"/>
        <filter val="соф"/>
      </filters>
    </filterColumn>
  </autoFilter>
  <mergeCells count="23">
    <mergeCell ref="M5:N5"/>
    <mergeCell ref="A1:Q1"/>
    <mergeCell ref="A2:Q2"/>
    <mergeCell ref="A3:Q3"/>
    <mergeCell ref="A5:A6"/>
    <mergeCell ref="B5:B6"/>
    <mergeCell ref="C5:C6"/>
    <mergeCell ref="D5:D6"/>
    <mergeCell ref="E5:E6"/>
    <mergeCell ref="F5:F6"/>
    <mergeCell ref="G5:G6"/>
    <mergeCell ref="H5:H6"/>
    <mergeCell ref="I5:I6"/>
    <mergeCell ref="J5:J6"/>
    <mergeCell ref="K5:K6"/>
    <mergeCell ref="L5:L6"/>
    <mergeCell ref="T92:T94"/>
    <mergeCell ref="O5:O6"/>
    <mergeCell ref="P5:P6"/>
    <mergeCell ref="Q5:Q6"/>
    <mergeCell ref="R5:R6"/>
    <mergeCell ref="S5:S6"/>
    <mergeCell ref="T5:T6"/>
  </mergeCells>
  <printOptions horizontalCentered="1"/>
  <pageMargins left="0.15748031496062992" right="0.19685039370078741" top="0.76" bottom="0.81" header="0.67" footer="0.19685039370078741"/>
  <pageSetup paperSize="9" scale="78"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25.06.2018</vt:lpstr>
      <vt:lpstr>'на 25.06.2018'!Заголовки_для_печати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chernyh</dc:creator>
  <cp:lastModifiedBy>chernyh</cp:lastModifiedBy>
  <cp:lastPrinted>2018-06-29T09:15:10Z</cp:lastPrinted>
  <dcterms:created xsi:type="dcterms:W3CDTF">2018-06-29T08:26:11Z</dcterms:created>
  <dcterms:modified xsi:type="dcterms:W3CDTF">2018-06-29T09:17:15Z</dcterms:modified>
</cp:coreProperties>
</file>